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Tallahassee\"/>
    </mc:Choice>
  </mc:AlternateContent>
  <xr:revisionPtr revIDLastSave="0" documentId="13_ncr:1_{2DC2F740-FF95-419E-A325-02D4354A0D63}" xr6:coauthVersionLast="47" xr6:coauthVersionMax="47" xr10:uidLastSave="{00000000-0000-0000-0000-000000000000}"/>
  <workbookProtection workbookAlgorithmName="SHA-512" workbookHashValue="7O+iJuXV7jnC8183lcsKNQSF07+rJGIcctgoFPTWDFO/WtpEytj3uzCHvpFkuLr/tUvI2NZ2ZwjHIlS6ytTblQ==" workbookSaltValue="3P9pNLbqTl8DiThDu+eQHQ==" workbookSpinCount="100000" lockStructure="1"/>
  <bookViews>
    <workbookView xWindow="28860" yWindow="345"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0" i="7" l="1"/>
  <c r="B17" i="8"/>
  <c r="E12" i="6"/>
  <c r="E11" i="6"/>
  <c r="C61" i="23"/>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G36" i="7"/>
  <c r="H37" i="6"/>
  <c r="H45" i="6" s="1"/>
  <c r="G38" i="7"/>
  <c r="G43" i="7" s="1"/>
  <c r="H17" i="6"/>
  <c r="H28"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47" i="6" l="1"/>
  <c r="C34" i="3" s="1"/>
  <c r="C126" i="3"/>
  <c r="F117" i="15"/>
  <c r="F128" i="15" s="1"/>
  <c r="C119" i="3"/>
  <c r="E18" i="4"/>
  <c r="E21" i="4" s="1"/>
  <c r="E23" i="4" s="1"/>
  <c r="E44" i="4" s="1"/>
  <c r="C17" i="3" s="1"/>
  <c r="F84" i="3"/>
  <c r="F88" i="3" s="1"/>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<sst xmlns="http://schemas.openxmlformats.org/spreadsheetml/2006/main" count="1318" uniqueCount="793">
  <si>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</si>
  <si>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</si>
  <si>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</si>
  <si>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</si>
  <si>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</si>
  <si>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</si>
  <si>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</si>
  <si>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</si>
  <si>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</si>
  <si>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</si>
  <si>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</si>
  <si>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</si>
  <si>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</si>
  <si>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</si>
  <si>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</si>
  <si>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</si>
  <si>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</si>
  <si>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</si>
  <si>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</si>
  <si>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</si>
  <si>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</si>
  <si>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</si>
  <si>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</si>
  <si>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</si>
  <si>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</si>
  <si>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</si>
  <si>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</si>
  <si>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</si>
  <si>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</si>
  <si>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</si>
  <si>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</si>
  <si>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</si>
  <si>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</si>
  <si>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</si>
  <si>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</si>
  <si>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</si>
  <si>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</si>
  <si>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</si>
  <si>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</si>
  <si>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</si>
  <si>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</si>
  <si>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</si>
  <si>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</si>
  <si>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</si>
  <si>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</si>
  <si>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</si>
  <si>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</si>
  <si>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</si>
  <si>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</si>
  <si>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</si>
  <si>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</si>
  <si>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</si>
  <si>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</si>
  <si>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</si>
  <si>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</si>
  <si>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</si>
  <si>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</si>
  <si>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</si>
  <si>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</si>
  <si>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</si>
  <si>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</si>
  <si>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</si>
  <si>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</si>
  <si>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</si>
  <si>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</si>
  <si>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</si>
  <si>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</si>
  <si>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</si>
  <si>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</si>
  <si>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</si>
  <si>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</si>
  <si>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</si>
  <si>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</si>
  <si>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</si>
  <si>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</si>
  <si>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</si>
  <si>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</si>
  <si>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</si>
  <si>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</si>
  <si>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</si>
  <si>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</si>
  <si>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</si>
  <si>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</si>
  <si>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</si>
  <si>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</si>
  <si>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</si>
  <si>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</si>
  <si>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</si>
  <si>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</si>
  <si>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</si>
  <si>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</si>
  <si>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</si>
  <si>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</si>
  <si>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</si>
  <si>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</si>
  <si>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</si>
  <si>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</si>
  <si>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</si>
  <si>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</si>
  <si>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</si>
  <si>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</si>
  <si>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</si>
  <si>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</si>
  <si>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</si>
  <si>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</si>
  <si>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</si>
  <si>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</si>
  <si>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</si>
  <si>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</si>
  <si>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</si>
  <si>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</si>
  <si>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</si>
  <si>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</si>
  <si>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</si>
  <si>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</si>
  <si>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</si>
  <si>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</si>
  <si>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</si>
  <si>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</si>
  <si>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</si>
  <si>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</si>
  <si>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</si>
  <si>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</si>
  <si>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</si>
  <si>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</si>
  <si>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</si>
  <si>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</si>
  <si>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</si>
  <si>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</si>
  <si>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</si>
  <si>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</si>
  <si>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</si>
  <si>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</si>
  <si>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</si>
  <si>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</si>
  <si>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</si>
  <si>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</si>
  <si>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</si>
  <si>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</si>
  <si>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</si>
  <si>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</si>
  <si>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</si>
  <si>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</si>
  <si>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</si>
  <si>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</si>
  <si>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</si>
  <si>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</si>
  <si>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</si>
  <si>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</si>
  <si>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</si>
  <si>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</si>
  <si>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</si>
  <si>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</si>
  <si>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</si>
  <si>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</si>
  <si>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</si>
  <si>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</si>
  <si>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</si>
  <si>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</si>
  <si>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</si>
  <si>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</si>
  <si>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</si>
  <si>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</si>
  <si>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</si>
  <si>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</si>
  <si>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</si>
  <si>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</si>
  <si>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</si>
  <si>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</si>
  <si>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</si>
  <si>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</si>
  <si>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</si>
  <si>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</si>
  <si>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</si>
  <si>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</si>
  <si>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</si>
  <si>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</si>
  <si>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</si>
  <si>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</si>
  <si>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</si>
  <si>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</si>
  <si>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</si>
  <si>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</si>
  <si>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</si>
  <si>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</si>
  <si>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</si>
  <si>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</si>
  <si>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</si>
  <si>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</si>
  <si>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</si>
  <si>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</si>
  <si>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</si>
  <si>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</si>
  <si>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</si>
  <si>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</si>
  <si>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</si>
  <si>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</si>
  <si>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</si>
  <si>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</si>
  <si>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</si>
  <si>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</si>
  <si>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</si>
  <si>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</si>
  <si>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</si>
  <si>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</si>
  <si>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</si>
  <si>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</si>
  <si>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</si>
  <si>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</si>
  <si>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</si>
  <si>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</si>
  <si>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</si>
  <si>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</si>
  <si>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</si>
  <si>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</si>
  <si>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</si>
  <si>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</si>
  <si>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</si>
  <si>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</si>
  <si>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</si>
  <si>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</si>
  <si>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</si>
  <si>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</si>
  <si>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</si>
  <si>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</si>
  <si>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</si>
  <si>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</si>
  <si>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</si>
  <si>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</si>
  <si>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</si>
  <si>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</si>
  <si>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</si>
  <si>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</si>
  <si>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</si>
  <si>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</si>
  <si>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</si>
  <si>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</si>
  <si>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</si>
  <si>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</si>
  <si>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</si>
  <si>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</si>
  <si>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</si>
  <si>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</si>
  <si>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</si>
  <si>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</si>
  <si>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</si>
  <si>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</si>
  <si>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</si>
  <si>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</si>
  <si>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</si>
  <si>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</si>
  <si>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</si>
  <si>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</si>
  <si>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</si>
  <si>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</si>
  <si>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</si>
  <si>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</si>
  <si>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</si>
  <si>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</si>
  <si>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</si>
  <si>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</si>
  <si>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</si>
  <si>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</si>
  <si>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</si>
  <si>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</si>
  <si>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</si>
  <si>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</si>
  <si>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</si>
  <si>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</si>
  <si>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</si>
  <si>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</si>
  <si>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</si>
  <si>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</si>
  <si>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</si>
  <si>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</si>
  <si>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</si>
  <si>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</si>
  <si>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</si>
  <si>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</si>
  <si>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</si>
  <si>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</si>
  <si>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</si>
  <si>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</si>
  <si>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</si>
  <si>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</si>
  <si>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</si>
  <si>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</si>
  <si>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</si>
  <si>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</si>
  <si>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</si>
  <si>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</si>
  <si>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</si>
  <si>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</si>
  <si>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</si>
  <si>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</si>
  <si>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</si>
  <si>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</si>
  <si>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</si>
  <si>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</si>
  <si>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</si>
  <si>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</si>
  <si>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</si>
  <si>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</si>
  <si>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</si>
  <si>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</si>
  <si>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</si>
  <si>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</si>
  <si>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</si>
  <si>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</si>
  <si>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</si>
  <si>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</si>
  <si>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</si>
  <si>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</si>
  <si>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</si>
  <si>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</si>
  <si>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</si>
  <si>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</si>
  <si>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</si>
  <si>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</si>
  <si>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</si>
  <si>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</si>
  <si>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</si>
  <si>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</si>
  <si>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</si>
  <si>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</si>
  <si>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</si>
  <si>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</si>
  <si>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</si>
  <si>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</si>
  <si>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</si>
  <si>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</si>
  <si>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</si>
  <si>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</si>
  <si>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</si>
  <si>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</si>
  <si>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</si>
  <si>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</si>
  <si>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</si>
  <si>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</si>
  <si>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</si>
  <si>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</si>
  <si>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</si>
  <si>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</si>
  <si>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</si>
  <si>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</si>
  <si>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</si>
  <si>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</si>
  <si>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</si>
  <si>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</si>
  <si>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</si>
  <si>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</si>
  <si>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</si>
  <si>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</si>
  <si>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</si>
  <si>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</si>
  <si>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</si>
  <si>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</si>
  <si>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</si>
  <si>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</si>
  <si>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</si>
  <si>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</si>
  <si>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</si>
  <si>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</si>
  <si>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</si>
  <si>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</si>
  <si>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</si>
  <si>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</si>
  <si>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</si>
  <si>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</si>
  <si>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</si>
  <si>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</si>
  <si>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</si>
  <si>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</si>
  <si>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</si>
  <si>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</si>
  <si>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</si>
  <si>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</si>
  <si>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</si>
  <si>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</si>
  <si>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</si>
  <si>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</si>
  <si>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</si>
  <si>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</si>
  <si>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</si>
  <si>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</si>
  <si>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</si>
  <si>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</si>
  <si>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</si>
  <si>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</si>
  <si>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</si>
  <si>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</si>
  <si>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</si>
  <si>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</si>
  <si>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</si>
  <si>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</si>
  <si>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</si>
  <si>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</si>
  <si>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</si>
  <si>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</si>
  <si>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</si>
  <si>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</si>
  <si>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</si>
  <si>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</si>
  <si>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</si>
  <si>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</si>
  <si>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</si>
  <si>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</si>
  <si>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</si>
  <si>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</si>
  <si>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</si>
  <si>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</si>
  <si>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</si>
  <si>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</si>
  <si>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</si>
  <si>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</si>
  <si>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</si>
  <si>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</si>
  <si>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</si>
  <si>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</si>
  <si>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</si>
  <si>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</si>
  <si>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</si>
  <si>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</si>
  <si>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</si>
  <si>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</si>
  <si>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</si>
  <si>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</si>
  <si>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</si>
  <si>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</si>
  <si>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</si>
  <si>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</si>
  <si>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</si>
  <si>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</si>
  <si>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</si>
  <si>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</si>
  <si>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</si>
  <si>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</si>
  <si>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</si>
  <si>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</si>
  <si>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</si>
  <si>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</si>
  <si>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</si>
  <si>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</si>
  <si>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</si>
  <si>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</si>
  <si>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</si>
  <si>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</si>
  <si>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</si>
  <si>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</si>
  <si>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</si>
  <si>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</si>
  <si>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</si>
  <si>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</si>
  <si>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</si>
  <si>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</si>
  <si>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</si>
  <si>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</si>
  <si>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</si>
  <si>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</si>
  <si>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</si>
  <si>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</si>
  <si>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</si>
  <si>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</si>
  <si>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</si>
  <si>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</si>
  <si>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</si>
  <si>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</si>
  <si>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</si>
  <si>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</si>
  <si>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</si>
  <si>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</si>
  <si>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</si>
  <si>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</si>
  <si>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</si>
  <si>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</si>
  <si>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</si>
  <si>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</si>
  <si>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</si>
  <si>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</si>
  <si>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</si>
  <si>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</si>
  <si>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</si>
  <si>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</si>
  <si>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</si>
  <si>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</si>
  <si>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</si>
  <si>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</si>
  <si>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</si>
  <si>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</si>
  <si>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</si>
  <si>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</si>
  <si>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</si>
  <si>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</si>
  <si>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</si>
  <si>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</si>
  <si>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</si>
  <si>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</si>
  <si>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</si>
  <si>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</si>
  <si>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</si>
  <si>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</si>
  <si>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</si>
  <si>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</si>
  <si>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</si>
  <si>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</si>
  <si>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</si>
  <si>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</si>
  <si>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</si>
  <si>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</si>
  <si>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</si>
  <si>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</si>
  <si>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</si>
  <si>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</si>
  <si>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</si>
  <si>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</si>
  <si>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</si>
  <si>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</si>
  <si>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</si>
  <si>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</si>
  <si>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</si>
  <si>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</si>
  <si>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</si>
  <si>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</si>
  <si>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</si>
  <si>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</si>
  <si>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</si>
  <si>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</si>
  <si>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</si>
  <si>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</si>
  <si>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</si>
  <si>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</si>
  <si>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</si>
  <si>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</si>
  <si>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</si>
  <si>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</si>
  <si>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</si>
  <si>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</si>
  <si>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</si>
  <si>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</si>
  <si>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</si>
  <si>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</si>
  <si>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</si>
  <si>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</si>
  <si>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</si>
  <si>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</si>
  <si>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</si>
  <si>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</si>
  <si>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</si>
  <si>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</si>
  <si>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</si>
  <si>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</si>
  <si>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</si>
  <si>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</si>
  <si>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</si>
  <si>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</si>
  <si>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</si>
  <si>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</si>
  <si>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</si>
  <si>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</si>
  <si>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</si>
  <si>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</si>
  <si>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</si>
  <si>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</si>
  <si>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</si>
  <si>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</si>
  <si>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</si>
  <si>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</si>
  <si>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</si>
  <si>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</si>
  <si>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</si>
  <si>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</si>
  <si>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</si>
  <si>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</si>
  <si>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</si>
  <si>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</si>
  <si>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</si>
  <si>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</si>
  <si>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</si>
  <si>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</si>
  <si>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</si>
  <si>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</si>
  <si>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</si>
  <si>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</si>
  <si>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</si>
  <si>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</si>
  <si>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</si>
  <si>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</si>
  <si>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</si>
  <si>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</si>
  <si>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</si>
  <si>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</si>
  <si>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</si>
  <si>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</si>
  <si>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</si>
  <si>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</si>
  <si>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</si>
  <si>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</si>
  <si>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</si>
  <si>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</si>
  <si>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</si>
  <si>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</si>
  <si>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</si>
  <si>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</si>
  <si>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</si>
  <si>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</si>
  <si>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</si>
  <si>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</si>
  <si>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</si>
  <si>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</si>
  <si>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</si>
  <si>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</si>
  <si>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</si>
  <si>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</si>
  <si>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</si>
  <si>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</si>
  <si>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</si>
  <si>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</si>
  <si>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</si>
  <si>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</si>
  <si>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</si>
  <si>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</si>
  <si>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</si>
  <si>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</si>
  <si>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</si>
  <si>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</si>
  <si>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</si>
  <si>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</si>
  <si>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</si>
  <si>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</si>
  <si>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</si>
  <si>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</si>
  <si>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</si>
  <si>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</si>
  <si>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</si>
  <si>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</si>
  <si>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</si>
  <si>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</si>
  <si>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</si>
  <si>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</si>
  <si>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</si>
  <si>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</si>
  <si>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</si>
  <si>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</si>
  <si>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</si>
  <si>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</si>
  <si>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</si>
  <si>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</si>
  <si>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</si>
  <si>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</si>
  <si>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</si>
  <si>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</si>
  <si>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</si>
  <si>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</si>
  <si>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</si>
  <si>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</si>
  <si>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</si>
  <si>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</si>
  <si>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</si>
  <si>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</si>
  <si>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</si>
  <si>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</si>
  <si>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</si>
  <si>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</si>
  <si>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</si>
  <si>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</si>
  <si>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</si>
  <si>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</si>
  <si>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</si>
  <si>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</si>
  <si>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</si>
  <si>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</si>
  <si>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</si>
  <si>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</si>
  <si>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</si>
  <si>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</si>
  <si>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</si>
  <si>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</si>
  <si>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</si>
  <si>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</si>
  <si>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</si>
  <si>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</si>
  <si>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</si>
  <si>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</si>
  <si>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</si>
  <si>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</si>
  <si>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</si>
  <si>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</si>
  <si>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</si>
  <si>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</si>
  <si>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</si>
  <si>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</si>
  <si>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</si>
  <si>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</si>
  <si>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</si>
  <si>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</si>
  <si>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</si>
  <si>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</si>
  <si>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</si>
  <si>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</si>
  <si>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</si>
  <si>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</si>
  <si>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</si>
  <si>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</si>
  <si>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</si>
  <si>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</si>
  <si>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</si>
  <si>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</si>
  <si>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</si>
  <si>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</si>
  <si>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</si>
  <si>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</si>
  <si>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</si>
  <si>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</si>
  <si>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</si>
  <si>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</si>
  <si>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</si>
  <si>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</si>
  <si>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</si>
  <si>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</si>
  <si>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</si>
  <si>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</si>
  <si>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</si>
  <si>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</si>
  <si>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</si>
  <si>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</si>
  <si>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</si>
  <si>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</si>
  <si>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</si>
  <si>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</si>
  <si>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</si>
  <si>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</si>
  <si>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</si>
  <si>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</si>
  <si>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</si>
  <si>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</si>
  <si>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</si>
  <si>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</si>
  <si>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</si>
  <si>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</si>
  <si>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</si>
  <si>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</si>
  <si>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</si>
  <si>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</si>
  <si>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</si>
  <si>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</si>
  <si>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</si>
  <si>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</si>
  <si>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</si>
  <si>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</si>
  <si>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</si>
  <si>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</si>
  <si>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</si>
  <si>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</si>
  <si>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</si>
  <si>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</si>
  <si>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</si>
  <si>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</si>
  <si>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</si>
  <si>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</si>
  <si>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</si>
  <si>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</si>
  <si>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</si>
  <si>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</si>
  <si>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</si>
  <si>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</si>
  <si>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</si>
  <si>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</si>
  <si>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</si>
  <si>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</si>
  <si>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</si>
  <si>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</si>
  <si>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</si>
  <si>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</si>
  <si>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</si>
  <si>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</si>
  <si>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</si>
  <si>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</si>
  <si>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</si>
  <si>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</si>
  <si>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</si>
  <si>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</si>
  <si>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</si>
  <si>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</si>
  <si>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</si>
  <si>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</si>
  <si>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</si>
  <si>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</si>
  <si>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</si>
  <si>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</si>
  <si>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</si>
  <si>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</si>
  <si>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</si>
  <si>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The College's credit hour projections reflect a significant growth in the number of exemptions per Florida statutes, which affect the actual tuition funds being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</si>
</sst>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topLeftCell="A133"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701</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5.386941362520916E-2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7260</v>
      </c>
      <c r="E44" s="108">
        <f>+'EXHIBIT C'!F10</f>
        <v>7260</v>
      </c>
      <c r="F44" s="109">
        <f t="shared" ref="F44:F50" si="0">IF(D44=0,"0",(E44/D44-1))</f>
        <v>0</v>
      </c>
      <c r="G44" s="110" t="str">
        <f t="shared" ref="G44:G50" si="1">IF(OR(F44&gt;3%, F44&lt;-3%),"YES","NO")</f>
        <v>NO</v>
      </c>
      <c r="H44" s="82"/>
    </row>
    <row r="45" spans="1:8" ht="20.100000000000001" customHeight="1">
      <c r="C45" s="111" t="s">
        <v>123</v>
      </c>
      <c r="D45" s="620">
        <f>VLOOKUP($D$7,VLOOKUP!$A$116:$S$144,5)*30+D60</f>
        <v>231788.60907262063</v>
      </c>
      <c r="E45" s="112">
        <f>+'EXHIBIT C'!F11</f>
        <v>213245.88</v>
      </c>
      <c r="F45" s="621">
        <f t="shared" si="0"/>
        <v>-7.9998448356929819E-2</v>
      </c>
      <c r="G45" s="622" t="str">
        <f t="shared" si="1"/>
        <v>YES</v>
      </c>
      <c r="H45" s="82"/>
    </row>
    <row r="46" spans="1:8" ht="20.100000000000001" customHeight="1">
      <c r="C46" s="623" t="s">
        <v>124</v>
      </c>
      <c r="D46" s="624">
        <f>VLOOKUP($D$7,VLOOKUP!$A$116:$S$144,8)*30</f>
        <v>53132.2869955157</v>
      </c>
      <c r="E46" s="625">
        <f>+'EXHIBIT C'!F12</f>
        <v>48881.440000000002</v>
      </c>
      <c r="F46" s="621">
        <f t="shared" si="0"/>
        <v>-8.000496940541002E-2</v>
      </c>
      <c r="G46" s="622" t="str">
        <f t="shared" si="1"/>
        <v>YES</v>
      </c>
      <c r="H46" s="82"/>
    </row>
    <row r="47" spans="1:8" ht="20.100000000000001" customHeight="1">
      <c r="C47" s="623" t="s">
        <v>74</v>
      </c>
      <c r="D47" s="624">
        <f>VLOOKUP($D$7,VLOOKUP!$A$116:$S$144,17)*30</f>
        <v>11649.809369951536</v>
      </c>
      <c r="E47" s="625">
        <f>+'EXHIBIT C'!F13</f>
        <v>11650</v>
      </c>
      <c r="F47" s="621">
        <f t="shared" si="0"/>
        <v>1.6363362044025109E-5</v>
      </c>
      <c r="G47" s="622" t="str">
        <f t="shared" si="1"/>
        <v>NO</v>
      </c>
      <c r="H47" s="82"/>
    </row>
    <row r="48" spans="1:8" ht="20.100000000000001" customHeight="1">
      <c r="C48" s="623" t="s">
        <v>125</v>
      </c>
      <c r="D48" s="624">
        <f>VLOOKUP($D$7,VLOOKUP!$A$116:$S$144,11)*30</f>
        <v>4380.386029411764</v>
      </c>
      <c r="E48" s="625">
        <f>+'EXHIBIT C'!F14</f>
        <v>4380</v>
      </c>
      <c r="F48" s="621">
        <f t="shared" si="0"/>
        <v>-8.8126801878196659E-5</v>
      </c>
      <c r="G48" s="622" t="str">
        <f t="shared" si="1"/>
        <v>NO</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308211.09146749962</v>
      </c>
      <c r="E50" s="115">
        <f>+'EXHIBIT C'!F17</f>
        <v>285417.32</v>
      </c>
      <c r="F50" s="116">
        <f t="shared" si="0"/>
        <v>-7.3955065533075293E-2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792</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8631.796390219024</v>
      </c>
      <c r="E60" s="125">
        <f>+'EXHIBIT C'!D20</f>
        <v>8631.796390219024</v>
      </c>
      <c r="F60" s="632">
        <f t="shared" si="2"/>
        <v>0</v>
      </c>
      <c r="G60" s="633" t="str">
        <f t="shared" ref="G60:G65" si="3">IF(OR(F60&gt;5%, F60&lt;-5%),"YES","NO")</f>
        <v>NO</v>
      </c>
      <c r="H60" s="82"/>
    </row>
    <row r="61" spans="3:8" ht="20.100000000000001" customHeight="1">
      <c r="C61" s="623" t="s">
        <v>124</v>
      </c>
      <c r="D61" s="634">
        <f>VLOOKUP($D$7,VLOOKUP!$A$116:$S$144,9)*30</f>
        <v>1775.7847533632289</v>
      </c>
      <c r="E61" s="635">
        <f>+'EXHIBIT C'!D21</f>
        <v>1775.7847533632289</v>
      </c>
      <c r="F61" s="632">
        <f t="shared" si="2"/>
        <v>0</v>
      </c>
      <c r="G61" s="633" t="str">
        <f t="shared" si="3"/>
        <v>NO</v>
      </c>
      <c r="H61" s="82"/>
    </row>
    <row r="62" spans="3:8" ht="20.100000000000001" customHeight="1">
      <c r="C62" s="623" t="s">
        <v>74</v>
      </c>
      <c r="D62" s="634">
        <f>VLOOKUP($D$7,VLOOKUP!$A$116:$S$144,18)*30</f>
        <v>110.19063004846527</v>
      </c>
      <c r="E62" s="635">
        <f>+'EXHIBIT C'!D22</f>
        <v>110.19063004846527</v>
      </c>
      <c r="F62" s="632">
        <f t="shared" si="2"/>
        <v>0</v>
      </c>
      <c r="G62" s="633" t="str">
        <f t="shared" si="3"/>
        <v>NO</v>
      </c>
      <c r="H62" s="82"/>
    </row>
    <row r="63" spans="3:8" ht="20.100000000000001" customHeight="1">
      <c r="C63" s="623" t="s">
        <v>125</v>
      </c>
      <c r="D63" s="634">
        <f>VLOOKUP($D$7,VLOOKUP!$A$116:$S$144,12)*30</f>
        <v>599.61397058823536</v>
      </c>
      <c r="E63" s="635">
        <f>+'EXHIBIT C'!D23</f>
        <v>599.61397058823536</v>
      </c>
      <c r="F63" s="632">
        <f t="shared" si="2"/>
        <v>0</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11117.385744218955</v>
      </c>
      <c r="E65" s="127">
        <f>SUM(E59:E64)</f>
        <v>11117.385744218955</v>
      </c>
      <c r="F65" s="128">
        <f t="shared" si="2"/>
        <v>0</v>
      </c>
      <c r="G65" s="129" t="str">
        <f t="shared" si="3"/>
        <v>NO</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39674794</v>
      </c>
      <c r="E84" s="1086">
        <f>+'EXHIBIT D'!G77</f>
        <v>39674794</v>
      </c>
      <c r="F84" s="1086">
        <f>D84-E84</f>
        <v>0</v>
      </c>
      <c r="G84" s="82"/>
      <c r="H84" s="82"/>
    </row>
    <row r="85" spans="1:8" ht="20.100000000000001" customHeight="1">
      <c r="A85" s="92"/>
      <c r="B85" s="92"/>
      <c r="C85" s="642" t="s">
        <v>147</v>
      </c>
      <c r="D85" s="641">
        <f>VLOOKUP($D$7,VLOOKUP!$A$157:$B$185,2)</f>
        <v>1436493</v>
      </c>
      <c r="E85" s="1086">
        <f>'EXHIBIT D'!G79</f>
        <v>1436493</v>
      </c>
      <c r="F85" s="1086">
        <f>D85-E85</f>
        <v>0</v>
      </c>
      <c r="G85" s="82"/>
      <c r="H85" s="82"/>
    </row>
    <row r="86" spans="1:8" ht="20.100000000000001" customHeight="1">
      <c r="A86" s="92"/>
      <c r="B86" s="92"/>
      <c r="C86" s="642" t="s">
        <v>148</v>
      </c>
      <c r="D86" s="641">
        <f>VLOOKUP($D$7,VLOOKUP!$A$7:$E$35,3)</f>
        <v>6698176</v>
      </c>
      <c r="E86" s="1086">
        <f>'EXHIBIT D'!G82</f>
        <v>6698176</v>
      </c>
      <c r="F86" s="1086">
        <f>D86-E86</f>
        <v>0</v>
      </c>
      <c r="G86" s="82"/>
      <c r="H86" s="82"/>
    </row>
    <row r="87" spans="1:8" ht="20.100000000000001" customHeight="1" thickBot="1">
      <c r="A87" s="91"/>
      <c r="B87" s="91"/>
      <c r="C87" s="137" t="s">
        <v>680</v>
      </c>
      <c r="D87" s="641">
        <f>VLOOKUP($D$7,VLOOKUP!$A$192:$B$220,2)</f>
        <v>669075</v>
      </c>
      <c r="E87" s="1087">
        <f>'EXHIBIT D'!G78</f>
        <v>669075</v>
      </c>
      <c r="F87" s="1086">
        <f>D87-E87</f>
        <v>0</v>
      </c>
      <c r="G87" s="82"/>
      <c r="H87" s="82"/>
    </row>
    <row r="88" spans="1:8" ht="20.100000000000001" customHeight="1" thickBot="1">
      <c r="A88" s="91"/>
      <c r="B88" s="91"/>
      <c r="C88" s="138" t="s">
        <v>149</v>
      </c>
      <c r="D88" s="139">
        <f>SUM(D84:D87)</f>
        <v>48478538</v>
      </c>
      <c r="E88" s="139">
        <f>SUM(E84:E87)</f>
        <v>48478538</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4598202</v>
      </c>
      <c r="D101" s="786" t="s">
        <v>728</v>
      </c>
      <c r="E101" s="786"/>
      <c r="F101" s="786"/>
      <c r="G101" s="82"/>
      <c r="H101" s="82"/>
    </row>
    <row r="102" spans="1:8" ht="20.100000000000001" customHeight="1">
      <c r="A102" s="89"/>
      <c r="B102" s="89"/>
      <c r="C102" s="644">
        <f>'EXHIBIT D'!G266-'EXHIBIT D'!G252-'EXHIBIT D'!G264</f>
        <v>4598202</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0</v>
      </c>
      <c r="D108" s="11" t="s">
        <v>730</v>
      </c>
    </row>
    <row r="109" spans="1:8" ht="26.25" customHeight="1">
      <c r="A109" s="145"/>
      <c r="B109" s="145"/>
      <c r="C109" s="646">
        <f>'EXHIBIT A'!E36</f>
        <v>0</v>
      </c>
      <c r="D109" s="11" t="s">
        <v>731</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91.789944903581272</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Tallahassee State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4598202</v>
      </c>
    </row>
    <row r="14" spans="2:7" ht="25.35" customHeight="1">
      <c r="B14" s="11" t="s">
        <v>171</v>
      </c>
      <c r="D14" s="22"/>
      <c r="E14" s="1157">
        <v>0</v>
      </c>
    </row>
    <row r="15" spans="2:7" ht="25.35" customHeight="1">
      <c r="B15" s="22"/>
      <c r="D15" s="22"/>
      <c r="E15" s="156"/>
    </row>
    <row r="16" spans="2:7" ht="25.35" customHeight="1">
      <c r="B16" s="11" t="s">
        <v>736</v>
      </c>
      <c r="C16" s="22"/>
      <c r="D16" s="22"/>
      <c r="E16" s="555">
        <f>+E14+E13</f>
        <v>4598202</v>
      </c>
    </row>
    <row r="17" spans="2:7" ht="25.35" customHeight="1">
      <c r="B17" s="22"/>
      <c r="C17" s="22"/>
      <c r="D17" s="22"/>
      <c r="E17" s="157"/>
    </row>
    <row r="18" spans="2:7" ht="25.35" customHeight="1">
      <c r="B18" s="11" t="s">
        <v>172</v>
      </c>
      <c r="C18" s="22"/>
      <c r="D18" s="22"/>
      <c r="E18" s="167">
        <f>+'EXHIBIT D'!G143-SUM(+'EXHIBIT D'!G133+'EXHIBIT D'!G134)</f>
        <v>80760106</v>
      </c>
      <c r="G18" s="132"/>
    </row>
    <row r="19" spans="2:7" ht="25.35" customHeight="1">
      <c r="B19" s="11" t="s">
        <v>173</v>
      </c>
      <c r="D19" s="22"/>
      <c r="E19" s="555">
        <f>+'EXHIBIT D'!G133+'EXHIBIT D'!G134</f>
        <v>0</v>
      </c>
    </row>
    <row r="20" spans="2:7" ht="25.35" customHeight="1">
      <c r="B20" s="22"/>
      <c r="D20" s="22"/>
      <c r="E20" s="162"/>
    </row>
    <row r="21" spans="2:7" ht="25.35" customHeight="1">
      <c r="B21" s="11" t="s">
        <v>174</v>
      </c>
      <c r="C21" s="22"/>
      <c r="D21" s="22"/>
      <c r="E21" s="556">
        <f>+E19+E18</f>
        <v>80760106</v>
      </c>
    </row>
    <row r="22" spans="2:7" ht="25.35" customHeight="1">
      <c r="B22" s="22"/>
      <c r="C22" s="22"/>
      <c r="D22" s="22"/>
      <c r="E22" s="162"/>
    </row>
    <row r="23" spans="2:7" ht="25.35" customHeight="1">
      <c r="B23" s="22" t="s">
        <v>175</v>
      </c>
      <c r="C23" s="22"/>
      <c r="D23" s="22"/>
      <c r="E23" s="556">
        <f>+E21+E16</f>
        <v>85358308</v>
      </c>
    </row>
    <row r="24" spans="2:7" ht="25.35" customHeight="1">
      <c r="B24" s="22"/>
      <c r="C24" s="22"/>
      <c r="D24" s="22"/>
      <c r="E24" s="162"/>
    </row>
    <row r="25" spans="2:7" ht="25.35" customHeight="1">
      <c r="B25" s="11" t="s">
        <v>176</v>
      </c>
      <c r="C25" s="22"/>
      <c r="D25" s="22"/>
      <c r="E25" s="168">
        <f>'EXHIBIT D'!G248-SUM(+'EXHIBIT D'!G222+'EXHIBIT D'!G223)</f>
        <v>80760106</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80760106</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4598202</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738</v>
      </c>
      <c r="C35" s="22"/>
      <c r="D35" s="22"/>
      <c r="E35" s="161">
        <f>+D32+D33</f>
        <v>4598202</v>
      </c>
    </row>
    <row r="36" spans="2:10" ht="25.35" customHeight="1">
      <c r="B36" s="11" t="s">
        <v>739</v>
      </c>
      <c r="C36" s="22"/>
      <c r="D36" s="22"/>
      <c r="E36" s="556">
        <f>-'EXHIBIT D'!G264</f>
        <v>0</v>
      </c>
      <c r="J36" s="42"/>
    </row>
    <row r="37" spans="2:10" ht="25.35" customHeight="1">
      <c r="D37" s="22"/>
      <c r="E37" s="161"/>
    </row>
    <row r="38" spans="2:10" ht="25.35" customHeight="1">
      <c r="B38" s="22" t="s">
        <v>740</v>
      </c>
      <c r="D38" s="22"/>
      <c r="E38" s="555">
        <f>+E35-E36</f>
        <v>4598202</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4598202</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5.386941362520916E-2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yHhl2DSza57+v7KFUxFSK0JL+bxnzqtDlK2A9MFwSw/jGXcItGXVHa/jVQVJK6JbwtmkXp/9zrvlmhV2VDg0CQ==" saltValue="esNnM+dLTChoiAq14lFM1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2" zoomScale="50" zoomScaleNormal="50" zoomScalePageLayoutView="50" workbookViewId="0">
      <selection activeCell="D56" sqref="D56"/>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Tallahassee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18.36</v>
      </c>
      <c r="F14" s="928">
        <v>4.59</v>
      </c>
      <c r="G14" s="649">
        <f>SUM(B14:F14)</f>
        <v>128.51</v>
      </c>
      <c r="H14" s="355">
        <f>G14*30</f>
        <v>3855.2999999999997</v>
      </c>
    </row>
    <row r="15" spans="1:18" s="11" customFormat="1" ht="20.100000000000001" customHeight="1">
      <c r="A15" s="22" t="s">
        <v>198</v>
      </c>
      <c r="B15" s="929">
        <v>76.8</v>
      </c>
      <c r="C15" s="929">
        <v>3.84</v>
      </c>
      <c r="D15" s="929">
        <v>5.35</v>
      </c>
      <c r="E15" s="929">
        <v>11</v>
      </c>
      <c r="F15" s="929">
        <v>3.84</v>
      </c>
      <c r="G15" s="649">
        <f>SUM(B15:F15)</f>
        <v>100.83</v>
      </c>
      <c r="H15" s="328">
        <f>G15*30</f>
        <v>3024.9</v>
      </c>
    </row>
    <row r="16" spans="1:18" s="11" customFormat="1" ht="20.100000000000001" customHeight="1" thickBot="1">
      <c r="A16" s="22" t="s">
        <v>74</v>
      </c>
      <c r="B16" s="930">
        <v>69.900000000000006</v>
      </c>
      <c r="C16" s="930">
        <v>3.39</v>
      </c>
      <c r="D16" s="931"/>
      <c r="E16" s="930">
        <v>3.39</v>
      </c>
      <c r="F16" s="930">
        <v>3.39</v>
      </c>
      <c r="G16" s="329">
        <f>SUM(B16:F16)</f>
        <v>80.070000000000007</v>
      </c>
      <c r="H16" s="650">
        <f>G16*30</f>
        <v>2402.1000000000004</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18.36</v>
      </c>
      <c r="E29" s="515">
        <f>D14</f>
        <v>9.18</v>
      </c>
      <c r="F29" s="928">
        <v>73.430000000000007</v>
      </c>
      <c r="G29" s="928">
        <v>18.36</v>
      </c>
      <c r="H29" s="336">
        <f>SUM(B29:G29)</f>
        <v>486.49000000000007</v>
      </c>
      <c r="I29" s="349">
        <f>H29*30</f>
        <v>14594.700000000003</v>
      </c>
    </row>
    <row r="30" spans="1:11" s="11" customFormat="1" ht="20.100000000000001" customHeight="1">
      <c r="A30" s="22" t="str">
        <f t="shared" si="0"/>
        <v>LOWER LEVEL - CREDIT (A &amp; P, PSV, DEVELOPMENTAL EDUCATION AND EPI)</v>
      </c>
      <c r="B30" s="653">
        <f t="shared" si="0"/>
        <v>76.8</v>
      </c>
      <c r="C30" s="932">
        <v>230.4</v>
      </c>
      <c r="D30" s="932">
        <v>15.36</v>
      </c>
      <c r="E30" s="654">
        <f>D15</f>
        <v>5.35</v>
      </c>
      <c r="F30" s="932">
        <v>44</v>
      </c>
      <c r="G30" s="932">
        <v>15.36</v>
      </c>
      <c r="H30" s="649">
        <f>SUM(B30:G30)</f>
        <v>387.27000000000004</v>
      </c>
      <c r="I30" s="328">
        <f>H30*30</f>
        <v>11618.1</v>
      </c>
    </row>
    <row r="31" spans="1:11" s="11" customFormat="1" ht="20.100000000000001" customHeight="1">
      <c r="A31" s="22" t="str">
        <f t="shared" si="0"/>
        <v>CAREER CERTIFICATE AND APPLIED TECHNOLOGY DIPLOMA</v>
      </c>
      <c r="B31" s="1106">
        <f t="shared" si="0"/>
        <v>69.900000000000006</v>
      </c>
      <c r="C31" s="929">
        <v>209.7</v>
      </c>
      <c r="D31" s="929">
        <v>13.56</v>
      </c>
      <c r="E31" s="1107"/>
      <c r="F31" s="929">
        <v>13.56</v>
      </c>
      <c r="G31" s="929">
        <v>13.56</v>
      </c>
      <c r="H31" s="1108">
        <f>SUM(B31:G31)</f>
        <v>320.28000000000003</v>
      </c>
      <c r="I31" s="1108">
        <f>H31*30</f>
        <v>9608.4000000000015</v>
      </c>
    </row>
    <row r="32" spans="1:11" s="11" customFormat="1" ht="20.100000000000001" customHeight="1" thickBot="1">
      <c r="A32" s="22" t="s">
        <v>707</v>
      </c>
      <c r="B32" s="1123">
        <v>76.8</v>
      </c>
      <c r="C32" s="1121">
        <v>138.47999999999999</v>
      </c>
      <c r="D32" s="1121">
        <v>15.36</v>
      </c>
      <c r="E32" s="1122"/>
      <c r="F32" s="1121">
        <v>44</v>
      </c>
      <c r="G32" s="1121">
        <v>15.36</v>
      </c>
      <c r="H32" s="1108">
        <f>SUM(B32:G32)</f>
        <v>290</v>
      </c>
      <c r="I32" s="1108">
        <f>H32*30</f>
        <v>8700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25" right="0.25" top="0.25" bottom="0.25" header="0.5" footer="0.5"/>
  <pageSetup scale="45" orientation="landscape" r:id="rId1"/>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 zoomScale="70" zoomScaleNormal="70" zoomScaleSheetLayoutView="50" zoomScalePageLayoutView="50" workbookViewId="0">
      <selection activeCell="E12" sqref="E12"/>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Tallahassee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7260</v>
      </c>
      <c r="E10" s="518">
        <v>0</v>
      </c>
      <c r="F10" s="519">
        <f t="shared" ref="F10:F15" si="0">+D10-E10</f>
        <v>7260</v>
      </c>
      <c r="G10" s="519">
        <f>'EXHIBIT B'!B14</f>
        <v>91.79</v>
      </c>
      <c r="H10" s="1156">
        <f>ROUND(+F10*G10,0)</f>
        <v>666395</v>
      </c>
    </row>
    <row r="11" spans="1:9" ht="20.100000000000001" customHeight="1">
      <c r="A11" s="660" t="s">
        <v>191</v>
      </c>
      <c r="B11" s="660" t="s">
        <v>123</v>
      </c>
      <c r="C11" s="661" t="s">
        <v>218</v>
      </c>
      <c r="D11" s="659">
        <v>231789</v>
      </c>
      <c r="E11" s="659">
        <f>D11*0.08</f>
        <v>18543.12</v>
      </c>
      <c r="F11" s="662">
        <f t="shared" si="0"/>
        <v>213245.88</v>
      </c>
      <c r="G11" s="662">
        <f>+'EXHIBIT B'!B15</f>
        <v>76.8</v>
      </c>
      <c r="H11" s="663">
        <f t="shared" ref="H11:H15" si="1">ROUND(+F11*G11,0)</f>
        <v>16377284</v>
      </c>
    </row>
    <row r="12" spans="1:9" ht="20.100000000000001" customHeight="1">
      <c r="A12" s="660" t="s">
        <v>191</v>
      </c>
      <c r="B12" s="660" t="s">
        <v>124</v>
      </c>
      <c r="C12" s="661" t="s">
        <v>219</v>
      </c>
      <c r="D12" s="659">
        <v>53132</v>
      </c>
      <c r="E12" s="659">
        <f>D12*0.08</f>
        <v>4250.5600000000004</v>
      </c>
      <c r="F12" s="662">
        <f t="shared" si="0"/>
        <v>48881.440000000002</v>
      </c>
      <c r="G12" s="662">
        <f>+'EXHIBIT B'!B15</f>
        <v>76.8</v>
      </c>
      <c r="H12" s="663">
        <f t="shared" si="1"/>
        <v>3754095</v>
      </c>
    </row>
    <row r="13" spans="1:9" ht="20.100000000000001" customHeight="1">
      <c r="A13" s="660" t="s">
        <v>191</v>
      </c>
      <c r="B13" s="660" t="s">
        <v>74</v>
      </c>
      <c r="C13" s="661" t="s">
        <v>220</v>
      </c>
      <c r="D13" s="664">
        <v>11650</v>
      </c>
      <c r="E13" s="664">
        <v>0</v>
      </c>
      <c r="F13" s="662">
        <f t="shared" si="0"/>
        <v>11650</v>
      </c>
      <c r="G13" s="662">
        <f>+'EXHIBIT B'!B16</f>
        <v>69.900000000000006</v>
      </c>
      <c r="H13" s="663">
        <f t="shared" si="1"/>
        <v>814335</v>
      </c>
    </row>
    <row r="14" spans="1:9" ht="20.100000000000001" customHeight="1">
      <c r="A14" s="660" t="s">
        <v>191</v>
      </c>
      <c r="B14" s="660" t="s">
        <v>125</v>
      </c>
      <c r="C14" s="661" t="s">
        <v>221</v>
      </c>
      <c r="D14" s="659">
        <v>4380</v>
      </c>
      <c r="E14" s="659">
        <v>0</v>
      </c>
      <c r="F14" s="662">
        <f t="shared" si="0"/>
        <v>4380</v>
      </c>
      <c r="G14" s="662">
        <f>+'EXHIBIT B'!B15</f>
        <v>76.8</v>
      </c>
      <c r="H14" s="663">
        <f t="shared" si="1"/>
        <v>336384</v>
      </c>
    </row>
    <row r="15" spans="1:9" ht="20.100000000000001" customHeight="1" thickBot="1">
      <c r="A15" s="665" t="s">
        <v>191</v>
      </c>
      <c r="B15" s="665" t="s">
        <v>126</v>
      </c>
      <c r="C15" s="666">
        <v>40160</v>
      </c>
      <c r="D15" s="667">
        <v>0</v>
      </c>
      <c r="E15" s="667">
        <v>0</v>
      </c>
      <c r="F15" s="668">
        <f t="shared" si="0"/>
        <v>0</v>
      </c>
      <c r="G15" s="668">
        <f>+'EXHIBIT B'!B15</f>
        <v>76.8</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308211</v>
      </c>
      <c r="E17" s="292">
        <f>SUM(E10:E15)</f>
        <v>22793.68</v>
      </c>
      <c r="F17" s="293">
        <f>SUM(F10:F15)</f>
        <v>285417.32</v>
      </c>
      <c r="G17" s="293"/>
      <c r="H17" s="294">
        <f>SUM(H10:H15)</f>
        <v>21948493</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275.37</v>
      </c>
      <c r="F19" s="1155">
        <f t="shared" ref="F19:F25" si="2">ROUND(+D19*E19,0)</f>
        <v>0</v>
      </c>
      <c r="G19" s="296"/>
      <c r="H19" s="296"/>
    </row>
    <row r="20" spans="1:9" ht="20.100000000000001" customHeight="1">
      <c r="A20" s="611" t="s">
        <v>206</v>
      </c>
      <c r="B20" s="611" t="s">
        <v>123</v>
      </c>
      <c r="C20" s="672" t="s">
        <v>225</v>
      </c>
      <c r="D20" s="679">
        <v>8631.796390219024</v>
      </c>
      <c r="E20" s="673">
        <f>+'EXHIBIT B'!C30</f>
        <v>230.4</v>
      </c>
      <c r="F20" s="674">
        <f t="shared" si="2"/>
        <v>1988766</v>
      </c>
      <c r="G20" s="42"/>
      <c r="H20" s="42"/>
    </row>
    <row r="21" spans="1:9" ht="20.100000000000001" customHeight="1">
      <c r="A21" s="611" t="s">
        <v>206</v>
      </c>
      <c r="B21" s="611" t="s">
        <v>124</v>
      </c>
      <c r="C21" s="672" t="s">
        <v>226</v>
      </c>
      <c r="D21" s="679">
        <v>1775.7847533632289</v>
      </c>
      <c r="E21" s="673">
        <f>+'EXHIBIT B'!C30</f>
        <v>230.4</v>
      </c>
      <c r="F21" s="674">
        <f t="shared" si="2"/>
        <v>409141</v>
      </c>
      <c r="G21" s="42"/>
      <c r="H21" s="42"/>
    </row>
    <row r="22" spans="1:9" ht="20.100000000000001" customHeight="1">
      <c r="A22" s="611" t="s">
        <v>206</v>
      </c>
      <c r="B22" s="611" t="s">
        <v>74</v>
      </c>
      <c r="C22" s="672" t="s">
        <v>227</v>
      </c>
      <c r="D22" s="679">
        <v>110.19063004846527</v>
      </c>
      <c r="E22" s="673">
        <f>+'EXHIBIT B'!C31</f>
        <v>209.7</v>
      </c>
      <c r="F22" s="674">
        <f t="shared" si="2"/>
        <v>23107</v>
      </c>
      <c r="G22" s="42"/>
      <c r="H22" s="42"/>
    </row>
    <row r="23" spans="1:9" ht="20.100000000000001" customHeight="1">
      <c r="A23" s="611" t="s">
        <v>206</v>
      </c>
      <c r="B23" s="611" t="s">
        <v>125</v>
      </c>
      <c r="C23" s="672" t="s">
        <v>228</v>
      </c>
      <c r="D23" s="679">
        <v>599.61397058823536</v>
      </c>
      <c r="E23" s="673">
        <f>+'EXHIBIT B'!C30</f>
        <v>230.4</v>
      </c>
      <c r="F23" s="674">
        <f t="shared" si="2"/>
        <v>138151</v>
      </c>
      <c r="G23" s="42"/>
      <c r="H23" s="42"/>
    </row>
    <row r="24" spans="1:9" ht="20.100000000000001" customHeight="1">
      <c r="A24" s="1017" t="s">
        <v>206</v>
      </c>
      <c r="B24" s="1017" t="s">
        <v>723</v>
      </c>
      <c r="C24" s="1111">
        <v>40360</v>
      </c>
      <c r="D24" s="1112">
        <v>0</v>
      </c>
      <c r="E24" s="1113">
        <f>+'EXHIBIT B'!C30</f>
        <v>230.4</v>
      </c>
      <c r="F24" s="1114">
        <f t="shared" si="2"/>
        <v>0</v>
      </c>
      <c r="G24" s="42"/>
      <c r="H24" s="42"/>
    </row>
    <row r="25" spans="1:9" ht="20.100000000000001" customHeight="1" thickBot="1">
      <c r="A25" s="373" t="s">
        <v>206</v>
      </c>
      <c r="B25" s="373" t="s">
        <v>704</v>
      </c>
      <c r="C25" s="1109" t="s">
        <v>705</v>
      </c>
      <c r="D25" s="1110">
        <v>0</v>
      </c>
      <c r="E25" s="1113">
        <f>+'EXHIBIT B'!H32</f>
        <v>290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11117.385744218955</v>
      </c>
      <c r="E27" s="677"/>
      <c r="F27" s="678">
        <f>SUM(F19:F25)</f>
        <v>2559165</v>
      </c>
      <c r="G27" s="300"/>
      <c r="H27" s="300"/>
    </row>
    <row r="28" spans="1:9" ht="20.100000000000001" customHeight="1" thickBot="1">
      <c r="A28" s="301" t="s">
        <v>229</v>
      </c>
      <c r="B28" s="301"/>
      <c r="C28" s="301"/>
      <c r="D28" s="301"/>
      <c r="E28" s="301"/>
      <c r="F28" s="302"/>
      <c r="G28" s="520"/>
      <c r="H28" s="303">
        <f>H17+F27</f>
        <v>24507658</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225</v>
      </c>
      <c r="E33" s="523">
        <v>0</v>
      </c>
      <c r="F33" s="524">
        <f>D33-E33</f>
        <v>225</v>
      </c>
      <c r="G33" s="524">
        <f>'EXHIBIT B'!B19</f>
        <v>30</v>
      </c>
      <c r="H33" s="525">
        <f>ROUND(+F33*G33,0)</f>
        <v>6750</v>
      </c>
    </row>
    <row r="34" spans="1:8" ht="20.100000000000001" customHeight="1">
      <c r="A34" s="611" t="s">
        <v>235</v>
      </c>
      <c r="B34" s="611" t="s">
        <v>238</v>
      </c>
      <c r="C34" s="672" t="s">
        <v>239</v>
      </c>
      <c r="D34" s="679">
        <v>0</v>
      </c>
      <c r="E34" s="679">
        <v>0</v>
      </c>
      <c r="F34" s="673">
        <f>D34-E34</f>
        <v>0</v>
      </c>
      <c r="G34" s="673">
        <f>'EXHIBIT B'!B20</f>
        <v>30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225</v>
      </c>
      <c r="E37" s="306">
        <f>SUM(E33:E36)</f>
        <v>0</v>
      </c>
      <c r="F37" s="307">
        <f>D37-E37</f>
        <v>225</v>
      </c>
      <c r="G37" s="307"/>
      <c r="H37" s="308">
        <f>SUM(H33:H36)</f>
        <v>6750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6750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24514408</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0</v>
      </c>
      <c r="C64" s="934"/>
      <c r="D64" s="935"/>
      <c r="E64" s="934"/>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0</v>
      </c>
      <c r="C70" s="944"/>
      <c r="D70" s="945"/>
      <c r="E70" s="944"/>
      <c r="F70" s="945"/>
    </row>
    <row r="71" spans="1:6" ht="24.95" customHeight="1" thickBot="1">
      <c r="A71" s="280" t="s">
        <v>254</v>
      </c>
      <c r="B71" s="281">
        <f>+B70+B61</f>
        <v>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Tallahassee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109" zoomScale="70" zoomScaleNormal="70" zoomScaleSheetLayoutView="70" zoomScalePageLayoutView="70" workbookViewId="0">
      <selection activeCell="G191" sqref="G191"/>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Tallahassee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666395</v>
      </c>
    </row>
    <row r="13" spans="1:8" ht="20.100000000000001" customHeight="1">
      <c r="A13" s="478" t="s">
        <v>191</v>
      </c>
      <c r="B13" s="176"/>
      <c r="C13" s="169" t="s">
        <v>123</v>
      </c>
      <c r="D13" s="176"/>
      <c r="E13" s="176"/>
      <c r="F13" s="180" t="s">
        <v>218</v>
      </c>
      <c r="G13" s="1146">
        <f>+'EXHIBIT C'!H11+'EXHIBIT C(2)'!E14</f>
        <v>16377284</v>
      </c>
    </row>
    <row r="14" spans="1:8" ht="20.100000000000001" customHeight="1">
      <c r="A14" s="478" t="s">
        <v>191</v>
      </c>
      <c r="B14" s="176"/>
      <c r="C14" s="176" t="s">
        <v>124</v>
      </c>
      <c r="D14" s="176"/>
      <c r="E14" s="176"/>
      <c r="F14" s="180" t="s">
        <v>219</v>
      </c>
      <c r="G14" s="1147">
        <f>+'EXHIBIT C'!H12+'EXHIBIT C(2)'!E15</f>
        <v>3754095</v>
      </c>
    </row>
    <row r="15" spans="1:8" ht="20.100000000000001" customHeight="1">
      <c r="A15" s="478" t="s">
        <v>191</v>
      </c>
      <c r="B15" s="176"/>
      <c r="C15" s="181" t="s">
        <v>271</v>
      </c>
      <c r="D15" s="176"/>
      <c r="E15" s="176"/>
      <c r="F15" s="180" t="s">
        <v>220</v>
      </c>
      <c r="G15" s="1147">
        <f>+'EXHIBIT C'!H13+'EXHIBIT C(2)'!E16</f>
        <v>814335</v>
      </c>
    </row>
    <row r="16" spans="1:8" ht="20.100000000000001" customHeight="1">
      <c r="A16" s="478" t="s">
        <v>191</v>
      </c>
      <c r="B16" s="176"/>
      <c r="C16" s="181" t="s">
        <v>272</v>
      </c>
      <c r="D16" s="176"/>
      <c r="E16" s="176"/>
      <c r="F16" s="180" t="s">
        <v>221</v>
      </c>
      <c r="G16" s="182">
        <f>+'EXHIBIT C'!H14+'EXHIBIT C(2)'!E17</f>
        <v>336384</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21948493</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1988766</v>
      </c>
    </row>
    <row r="23" spans="1:7" ht="20.100000000000001" customHeight="1">
      <c r="A23" s="478" t="s">
        <v>206</v>
      </c>
      <c r="B23" s="176"/>
      <c r="C23" s="176" t="s">
        <v>124</v>
      </c>
      <c r="D23" s="176"/>
      <c r="E23" s="176"/>
      <c r="F23" s="180" t="s">
        <v>226</v>
      </c>
      <c r="G23" s="1149">
        <f>+'EXHIBIT C'!F21+'EXHIBIT C(2)'!E24</f>
        <v>409141</v>
      </c>
    </row>
    <row r="24" spans="1:7" ht="20.100000000000001" customHeight="1">
      <c r="A24" s="478" t="s">
        <v>206</v>
      </c>
      <c r="B24" s="176"/>
      <c r="C24" s="181" t="s">
        <v>271</v>
      </c>
      <c r="D24" s="176"/>
      <c r="E24" s="176"/>
      <c r="F24" s="180" t="s">
        <v>227</v>
      </c>
      <c r="G24" s="1149">
        <f>+'EXHIBIT C'!F22+'EXHIBIT C(2)'!E25</f>
        <v>23107</v>
      </c>
    </row>
    <row r="25" spans="1:7" ht="20.100000000000001" customHeight="1">
      <c r="A25" s="478" t="s">
        <v>206</v>
      </c>
      <c r="B25" s="176"/>
      <c r="C25" s="181" t="s">
        <v>272</v>
      </c>
      <c r="D25" s="176"/>
      <c r="E25" s="176"/>
      <c r="F25" s="180" t="s">
        <v>228</v>
      </c>
      <c r="G25" s="1149">
        <f>+'EXHIBIT C'!F23+'EXHIBIT C(2)'!E26</f>
        <v>138151</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2559165</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6750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6750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24514408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101569</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10000</v>
      </c>
    </row>
    <row r="51" spans="1:7" ht="20.100000000000001" customHeight="1">
      <c r="A51" s="478" t="s">
        <v>713</v>
      </c>
      <c r="B51" s="176"/>
      <c r="C51" s="176"/>
      <c r="D51" s="176"/>
      <c r="E51" s="176"/>
      <c r="F51" s="195">
        <v>40280</v>
      </c>
      <c r="G51" s="1150">
        <v>0</v>
      </c>
    </row>
    <row r="52" spans="1:7" ht="20.100000000000001" customHeight="1">
      <c r="A52" s="478" t="s">
        <v>290</v>
      </c>
      <c r="B52" s="176"/>
      <c r="C52" s="176"/>
      <c r="D52" s="176"/>
      <c r="E52" s="176"/>
      <c r="F52" s="180" t="s">
        <v>291</v>
      </c>
      <c r="G52" s="1150">
        <v>1406803</v>
      </c>
    </row>
    <row r="53" spans="1:7" ht="20.100000000000001" customHeight="1">
      <c r="A53" s="478" t="s">
        <v>292</v>
      </c>
      <c r="B53" s="176"/>
      <c r="C53" s="176"/>
      <c r="D53" s="176"/>
      <c r="E53" s="176"/>
      <c r="F53" s="179">
        <v>40450</v>
      </c>
      <c r="G53" s="1150">
        <v>1896220</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1402568</v>
      </c>
    </row>
    <row r="61" spans="1:7" ht="20.100000000000001" customHeight="1">
      <c r="A61" s="478" t="s">
        <v>307</v>
      </c>
      <c r="B61" s="176"/>
      <c r="C61" s="176"/>
      <c r="D61" s="176"/>
      <c r="E61" s="176"/>
      <c r="F61" s="180" t="s">
        <v>308</v>
      </c>
      <c r="G61" s="1150">
        <v>350000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29681568</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500000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500000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39674794</v>
      </c>
    </row>
    <row r="78" spans="1:7" ht="20.100000000000001" customHeight="1">
      <c r="A78" s="478" t="s">
        <v>681</v>
      </c>
      <c r="B78" s="176"/>
      <c r="C78" s="176"/>
      <c r="D78" s="176"/>
      <c r="E78" s="176"/>
      <c r="F78" s="179">
        <v>42130</v>
      </c>
      <c r="G78" s="1152">
        <v>669075</v>
      </c>
    </row>
    <row r="79" spans="1:7" ht="20.100000000000001" customHeight="1">
      <c r="A79" s="480" t="s">
        <v>325</v>
      </c>
      <c r="B79" s="481"/>
      <c r="C79" s="481"/>
      <c r="D79" s="481"/>
      <c r="E79" s="481"/>
      <c r="F79" s="191" t="s">
        <v>326</v>
      </c>
      <c r="G79" s="1150">
        <v>1436493</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v>0</v>
      </c>
    </row>
    <row r="82" spans="1:10" ht="20.100000000000001" customHeight="1">
      <c r="A82" s="478" t="s">
        <v>330</v>
      </c>
      <c r="B82" s="176"/>
      <c r="C82" s="176"/>
      <c r="D82" s="176"/>
      <c r="E82" s="176"/>
      <c r="F82" s="180" t="s">
        <v>331</v>
      </c>
      <c r="G82" s="1151">
        <f>'CHECK SHEET'!D86</f>
        <v>6698176</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1000000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49478538</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550000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550000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50000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50000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100000</v>
      </c>
    </row>
    <row r="112" spans="1:7" ht="20.100000000000001" customHeight="1">
      <c r="A112" s="478" t="s">
        <v>357</v>
      </c>
      <c r="B112" s="176"/>
      <c r="C112" s="176"/>
      <c r="D112" s="176"/>
      <c r="E112" s="176"/>
      <c r="F112" s="180" t="s">
        <v>358</v>
      </c>
      <c r="G112" s="432">
        <v>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100000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50000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718</v>
      </c>
      <c r="B127" s="176"/>
      <c r="C127" s="176"/>
      <c r="D127" s="176"/>
      <c r="E127" s="176"/>
      <c r="F127" s="180" t="s">
        <v>373</v>
      </c>
      <c r="G127" s="432">
        <v>350000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400000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0</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80760106</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2250000</v>
      </c>
    </row>
    <row r="148" spans="1:7" ht="20.100000000000001" customHeight="1">
      <c r="A148" s="478" t="s">
        <v>389</v>
      </c>
      <c r="F148" s="180" t="s">
        <v>390</v>
      </c>
      <c r="G148" s="434">
        <v>1250000</v>
      </c>
    </row>
    <row r="149" spans="1:7" ht="20.100000000000001" customHeight="1">
      <c r="A149" s="478" t="s">
        <v>391</v>
      </c>
      <c r="F149" s="180" t="s">
        <v>392</v>
      </c>
      <c r="G149" s="434">
        <v>550000</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15500000</v>
      </c>
    </row>
    <row r="153" spans="1:7" ht="20.100000000000001" customHeight="1">
      <c r="A153" s="478" t="s">
        <v>399</v>
      </c>
      <c r="B153" s="176"/>
      <c r="C153" s="176"/>
      <c r="D153" s="176"/>
      <c r="E153" s="176"/>
      <c r="F153" s="180" t="s">
        <v>400</v>
      </c>
      <c r="G153" s="434">
        <v>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10700000</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3000000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3500000</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5000000</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750000</v>
      </c>
    </row>
    <row r="178" spans="1:7" ht="20.100000000000001" customHeight="1">
      <c r="A178" s="478" t="s">
        <v>445</v>
      </c>
      <c r="B178" s="176"/>
      <c r="C178" s="176"/>
      <c r="D178" s="176"/>
      <c r="E178" s="176"/>
      <c r="F178" s="180" t="s">
        <v>446</v>
      </c>
      <c r="G178" s="434">
        <v>1250000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2750000</v>
      </c>
    </row>
    <row r="185" spans="1:7" ht="20.100000000000001" customHeight="1">
      <c r="A185" s="478" t="s">
        <v>459</v>
      </c>
      <c r="B185" s="176"/>
      <c r="C185" s="176"/>
      <c r="D185" s="176"/>
      <c r="E185" s="176"/>
      <c r="F185" s="180" t="s">
        <v>460</v>
      </c>
      <c r="G185" s="434">
        <v>5250000</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f>9750000+260106</f>
        <v>10010106</v>
      </c>
    </row>
    <row r="191" spans="1:7" ht="20.100000000000001" customHeight="1">
      <c r="A191" s="478" t="s">
        <v>720</v>
      </c>
      <c r="B191" s="176"/>
      <c r="C191" s="176"/>
      <c r="D191" s="176"/>
      <c r="E191" s="176"/>
      <c r="F191" s="180" t="s">
        <v>471</v>
      </c>
      <c r="G191" s="434">
        <v>0</v>
      </c>
    </row>
    <row r="192" spans="1:7" ht="20.100000000000001" customHeight="1">
      <c r="A192" s="478" t="s">
        <v>472</v>
      </c>
      <c r="B192" s="176"/>
      <c r="C192" s="176"/>
      <c r="D192" s="176"/>
      <c r="E192" s="176"/>
      <c r="F192" s="180" t="s">
        <v>473</v>
      </c>
      <c r="G192" s="434">
        <v>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61760106</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604500</v>
      </c>
    </row>
    <row r="199" spans="1:7" ht="20.100000000000001" customHeight="1">
      <c r="A199" s="478" t="s">
        <v>478</v>
      </c>
      <c r="B199" s="176"/>
      <c r="C199" s="176"/>
      <c r="D199" s="176"/>
      <c r="E199" s="176"/>
      <c r="F199" s="180" t="s">
        <v>479</v>
      </c>
      <c r="G199" s="434">
        <v>55525</v>
      </c>
    </row>
    <row r="200" spans="1:7" ht="20.100000000000001" customHeight="1">
      <c r="A200" s="478" t="s">
        <v>480</v>
      </c>
      <c r="B200" s="176"/>
      <c r="C200" s="176"/>
      <c r="D200" s="176"/>
      <c r="E200" s="176"/>
      <c r="F200" s="180" t="s">
        <v>481</v>
      </c>
      <c r="G200" s="434">
        <v>23575</v>
      </c>
    </row>
    <row r="201" spans="1:7" ht="20.100000000000001" customHeight="1">
      <c r="A201" s="478" t="s">
        <v>482</v>
      </c>
      <c r="B201" s="176"/>
      <c r="C201" s="176"/>
      <c r="D201" s="176"/>
      <c r="E201" s="176"/>
      <c r="F201" s="180" t="s">
        <v>483</v>
      </c>
      <c r="G201" s="434">
        <v>141250</v>
      </c>
    </row>
    <row r="202" spans="1:7" ht="20.100000000000001" customHeight="1">
      <c r="A202" s="478" t="s">
        <v>484</v>
      </c>
      <c r="B202" s="176"/>
      <c r="C202" s="176"/>
      <c r="D202" s="176"/>
      <c r="E202" s="176"/>
      <c r="F202" s="180" t="s">
        <v>485</v>
      </c>
      <c r="G202" s="434">
        <v>666485</v>
      </c>
    </row>
    <row r="203" spans="1:7" ht="20.100000000000001" customHeight="1">
      <c r="A203" s="478" t="s">
        <v>721</v>
      </c>
      <c r="B203" s="176"/>
      <c r="C203" s="176"/>
      <c r="D203" s="176"/>
      <c r="E203" s="176"/>
      <c r="F203" s="180" t="s">
        <v>487</v>
      </c>
      <c r="G203" s="434">
        <v>595000</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2085934.47</v>
      </c>
    </row>
    <row r="206" spans="1:7" ht="20.100000000000001" customHeight="1">
      <c r="A206" s="478" t="s">
        <v>490</v>
      </c>
      <c r="B206" s="176"/>
      <c r="C206" s="176"/>
      <c r="D206" s="176"/>
      <c r="E206" s="176"/>
      <c r="F206" s="180" t="s">
        <v>491</v>
      </c>
      <c r="G206" s="434">
        <v>2331136</v>
      </c>
    </row>
    <row r="207" spans="1:7" ht="20.100000000000001" customHeight="1">
      <c r="A207" s="478" t="s">
        <v>492</v>
      </c>
      <c r="B207" s="176"/>
      <c r="C207" s="176"/>
      <c r="D207" s="176"/>
      <c r="E207" s="176"/>
      <c r="F207" s="180" t="s">
        <v>493</v>
      </c>
      <c r="G207" s="434">
        <v>3128593</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1275150</v>
      </c>
    </row>
    <row r="211" spans="1:9" ht="20.100000000000001" customHeight="1">
      <c r="A211" s="478" t="s">
        <v>499</v>
      </c>
      <c r="B211" s="176"/>
      <c r="C211" s="176"/>
      <c r="D211" s="176"/>
      <c r="E211" s="176"/>
      <c r="F211" s="180" t="s">
        <v>500</v>
      </c>
      <c r="G211" s="434">
        <v>1768617.53</v>
      </c>
    </row>
    <row r="212" spans="1:9" ht="20.100000000000001" customHeight="1">
      <c r="A212" s="478" t="s">
        <v>501</v>
      </c>
      <c r="F212" s="195" t="s">
        <v>502</v>
      </c>
      <c r="G212" s="434">
        <v>568450</v>
      </c>
    </row>
    <row r="213" spans="1:9" ht="20.100000000000001" customHeight="1">
      <c r="A213" s="478" t="s">
        <v>503</v>
      </c>
      <c r="B213" s="176"/>
      <c r="C213" s="176"/>
      <c r="D213" s="176"/>
      <c r="E213" s="176"/>
      <c r="F213" s="180" t="s">
        <v>504</v>
      </c>
      <c r="G213" s="434">
        <v>351425</v>
      </c>
    </row>
    <row r="214" spans="1:9" ht="20.100000000000001" customHeight="1">
      <c r="A214" s="478" t="s">
        <v>505</v>
      </c>
      <c r="B214" s="176"/>
      <c r="C214" s="176"/>
      <c r="D214" s="176"/>
      <c r="E214" s="176"/>
      <c r="F214" s="180" t="s">
        <v>506</v>
      </c>
      <c r="G214" s="434">
        <v>453630</v>
      </c>
    </row>
    <row r="215" spans="1:9" ht="20.100000000000001" customHeight="1">
      <c r="A215" s="478" t="s">
        <v>507</v>
      </c>
      <c r="B215" s="176"/>
      <c r="C215" s="176"/>
      <c r="D215" s="176"/>
      <c r="E215" s="176"/>
      <c r="F215" s="180" t="s">
        <v>508</v>
      </c>
      <c r="G215" s="434">
        <v>185000</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5000</v>
      </c>
    </row>
    <row r="221" spans="1:9" ht="20.100000000000001" customHeight="1">
      <c r="A221" s="478" t="s">
        <v>518</v>
      </c>
      <c r="B221" s="176"/>
      <c r="C221" s="176"/>
      <c r="D221" s="176"/>
      <c r="E221" s="176"/>
      <c r="F221" s="180" t="s">
        <v>519</v>
      </c>
      <c r="G221" s="434">
        <v>50000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0</v>
      </c>
    </row>
    <row r="224" spans="1:9" ht="20.100000000000001" customHeight="1">
      <c r="A224" s="478" t="s">
        <v>520</v>
      </c>
      <c r="B224" s="176"/>
      <c r="C224" s="176"/>
      <c r="D224" s="176"/>
      <c r="E224" s="176"/>
      <c r="F224" s="180" t="s">
        <v>521</v>
      </c>
      <c r="G224" s="434">
        <v>2710729</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17000000</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0</v>
      </c>
    </row>
    <row r="234" spans="1:7" ht="20.100000000000001" customHeight="1">
      <c r="A234" s="478" t="s">
        <v>531</v>
      </c>
      <c r="B234" s="176"/>
      <c r="C234" s="176"/>
      <c r="D234" s="176"/>
      <c r="E234" s="176"/>
      <c r="F234" s="180" t="s">
        <v>532</v>
      </c>
      <c r="G234" s="434">
        <v>2000000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2000000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80760106</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4598202</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4598202</v>
      </c>
    </row>
    <row r="263" spans="1:12" ht="20.100000000000001" customHeight="1">
      <c r="A263" s="479"/>
      <c r="B263" s="176"/>
      <c r="C263" s="176"/>
      <c r="D263" s="176"/>
      <c r="E263" s="176"/>
      <c r="F263" s="189"/>
      <c r="G263" s="205"/>
    </row>
    <row r="264" spans="1:12" ht="20.100000000000001" customHeight="1" thickBot="1">
      <c r="A264" s="490" t="s">
        <v>747</v>
      </c>
      <c r="F264" s="195">
        <v>30800</v>
      </c>
      <c r="G264" s="1159">
        <v>0</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4598202</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B18" sqref="B18"/>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Tallahassee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29769917</v>
      </c>
      <c r="C10" s="436">
        <v>2725980</v>
      </c>
      <c r="D10" s="436">
        <v>0</v>
      </c>
      <c r="E10" s="359">
        <f>SUM(B10:D10)</f>
        <v>32495897</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5180010</v>
      </c>
      <c r="C14" s="438">
        <v>1620272</v>
      </c>
      <c r="D14" s="438">
        <v>100000</v>
      </c>
      <c r="E14" s="360">
        <f t="shared" ref="E14:E20" si="0">SUM(B14:D14)</f>
        <v>6900282</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7247555</v>
      </c>
      <c r="C16" s="430">
        <v>1163568</v>
      </c>
      <c r="D16" s="430">
        <v>100000</v>
      </c>
      <c r="E16" s="360">
        <f t="shared" si="0"/>
        <v>8511123</v>
      </c>
      <c r="F16" s="342"/>
    </row>
    <row r="17" spans="1:6" s="11" customFormat="1" ht="20.100000000000001" customHeight="1">
      <c r="A17" s="358" t="s">
        <v>574</v>
      </c>
      <c r="B17" s="437">
        <f>12561423</f>
        <v>12561423</v>
      </c>
      <c r="C17" s="430">
        <v>7858338</v>
      </c>
      <c r="D17" s="430">
        <v>1800000</v>
      </c>
      <c r="E17" s="360">
        <f t="shared" si="0"/>
        <v>22219761</v>
      </c>
      <c r="F17" s="342"/>
    </row>
    <row r="18" spans="1:6" s="11" customFormat="1" ht="20.100000000000001" customHeight="1">
      <c r="A18" s="358" t="s">
        <v>575</v>
      </c>
      <c r="B18" s="437">
        <v>7001201</v>
      </c>
      <c r="C18" s="430">
        <v>3631842</v>
      </c>
      <c r="D18" s="430">
        <v>0</v>
      </c>
      <c r="E18" s="360">
        <f t="shared" si="0"/>
        <v>10633043</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v>0</v>
      </c>
      <c r="C20" s="431">
        <v>0</v>
      </c>
      <c r="D20" s="431">
        <v>0</v>
      </c>
      <c r="E20" s="360">
        <f t="shared" si="0"/>
        <v>0</v>
      </c>
      <c r="F20" s="342"/>
    </row>
    <row r="21" spans="1:6" s="11" customFormat="1" ht="24" customHeight="1" thickBot="1">
      <c r="A21" s="283" t="s">
        <v>47</v>
      </c>
      <c r="B21" s="343">
        <f>SUM(B10:B20)</f>
        <v>61760106</v>
      </c>
      <c r="C21" s="346">
        <f>SUM(C10:C20)</f>
        <v>17000000</v>
      </c>
      <c r="D21" s="346">
        <f>SUM(D10:D20)</f>
        <v>2000000</v>
      </c>
      <c r="E21" s="345">
        <f>SUM(E10:E20)</f>
        <v>80760106</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30" zoomScale="60" zoomScaleNormal="60" zoomScaleSheetLayoutView="50" zoomScalePageLayoutView="60" workbookViewId="0">
      <selection activeCell="D130" sqref="D130"/>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Tallahassee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465720</v>
      </c>
      <c r="E15" s="724">
        <v>0</v>
      </c>
      <c r="F15" s="725">
        <f t="shared" si="0"/>
        <v>465720</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35628</v>
      </c>
      <c r="E47" s="724">
        <v>0</v>
      </c>
      <c r="F47" s="725">
        <f t="shared" si="0"/>
        <v>35628</v>
      </c>
    </row>
    <row r="48" spans="1:6" s="11" customFormat="1" ht="30" customHeight="1">
      <c r="A48" s="721" t="s">
        <v>459</v>
      </c>
      <c r="B48" s="722"/>
      <c r="C48" s="723" t="s">
        <v>460</v>
      </c>
      <c r="D48" s="724">
        <v>68307</v>
      </c>
      <c r="E48" s="724">
        <v>0</v>
      </c>
      <c r="F48" s="725">
        <f t="shared" si="0"/>
        <v>68307</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96740</v>
      </c>
      <c r="E53" s="724">
        <v>0</v>
      </c>
      <c r="F53" s="725">
        <f t="shared" si="0"/>
        <v>96740</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666395</v>
      </c>
      <c r="E56" s="258">
        <f>SUM(E10:E55)</f>
        <v>0</v>
      </c>
      <c r="F56" s="258">
        <f t="shared" si="0"/>
        <v>666395</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0</v>
      </c>
      <c r="E66" s="724">
        <v>0</v>
      </c>
      <c r="F66" s="725">
        <f t="shared" si="0"/>
        <v>0</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0</v>
      </c>
      <c r="E72" s="724">
        <v>0</v>
      </c>
      <c r="F72" s="725">
        <f t="shared" si="0"/>
        <v>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0</v>
      </c>
      <c r="E76" s="724">
        <v>0</v>
      </c>
      <c r="F76" s="725">
        <f t="shared" si="1"/>
        <v>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0</v>
      </c>
      <c r="E79" s="724">
        <v>0</v>
      </c>
      <c r="F79" s="725">
        <f t="shared" si="1"/>
        <v>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0</v>
      </c>
      <c r="E92" s="254">
        <f>SUM(E63:E91)</f>
        <v>0</v>
      </c>
      <c r="F92" s="254">
        <f t="shared" si="1"/>
        <v>0</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666395</v>
      </c>
      <c r="E112" s="254">
        <f>+E56+E92+E110</f>
        <v>0</v>
      </c>
      <c r="F112" s="254">
        <f>SUM(D112:E112)</f>
        <v>666395</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666395</v>
      </c>
      <c r="E117" s="724">
        <v>0</v>
      </c>
      <c r="F117" s="725">
        <f t="shared" ref="F117:F127" si="3">+D117+E117</f>
        <v>666395</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666395</v>
      </c>
      <c r="E128" s="248">
        <f>SUM(E116:E127)</f>
        <v>0</v>
      </c>
      <c r="F128" s="249">
        <f>SUM(F116:F127)</f>
        <v>666395</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48"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2026-06-04T13:37:58Z</cp:lastPrinted>
  <dcterms:created xsi:type="dcterms:W3CDTF">2005-03-22T15:46:43Z</dcterms:created>
  <dcterms:modified xsi:type="dcterms:W3CDTF">2026-08-04T12:53:36Z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