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St. Pete\"/>
    </mc:Choice>
  </mc:AlternateContent>
  <xr:revisionPtr revIDLastSave="0" documentId="13_ncr:1_{7BCD00D8-0B01-4C25-8DA9-A0A5EA96C26F}" xr6:coauthVersionLast="47" xr6:coauthVersionMax="47" xr10:uidLastSave="{00000000-0000-0000-0000-000000000000}"/>
  <workbookProtection workbookAlgorithmName="SHA-512" workbookHashValue="aSyfUWc2UwpaSyAuh15TcSflIqkUW7bwcVD7xFshHbjyTsojucCT2uEKvA2oriSPbgmWdWiKF2K7cwIzH8Yr4g==" workbookSaltValue="28rou2NSyLRQ+FLmYsFViw==" workbookSpinCount="100000" lockStructure="1"/>
  <bookViews>
    <workbookView xWindow="28860" yWindow="345"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D" sheetId="7" r:id="rId8"/>
    <sheet name="EXHIBIT C(2)" sheetId="12"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8">'EXHIBIT C(2)'!$A$1:$F$38</definedName>
    <definedName name="_xlnm.Print_Area" localSheetId="7">'EXHIBIT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8" hidden="1">'EXHIBIT C(2)'!$A$3:$F$68</definedName>
    <definedName name="Z_8CA1AA3C_D3A6_493D_93EE_74DE1406A5FE_.wvu.PrintArea" localSheetId="7"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7" i="15" l="1"/>
  <c r="G51" i="7"/>
  <c r="G48" i="7"/>
  <c r="C61" i="23"/>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c r="F10" i="6"/>
  <c r="E44" i="3" s="1"/>
  <c r="E47" i="3"/>
  <c r="C93" i="3" l="1"/>
  <c r="I31" i="5"/>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8" i="3" l="1"/>
  <c r="G48" i="3" s="1"/>
  <c r="F46" i="3"/>
  <c r="G46" i="3" s="1"/>
  <c r="G36" i="7"/>
  <c r="H37" i="6"/>
  <c r="H45" i="6"/>
  <c r="G38" i="7"/>
  <c r="G43" i="7" s="1"/>
  <c r="H17" i="6"/>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H28" i="6" l="1"/>
  <c r="H47" i="6" s="1"/>
  <c r="C126" i="3"/>
  <c r="F117" i="15"/>
  <c r="F128" i="15" s="1"/>
  <c r="C119" i="3"/>
  <c r="E18" i="4"/>
  <c r="E21" i="4" s="1"/>
  <c r="E23" i="4" s="1"/>
  <c r="E44" i="4" s="1"/>
  <c r="C17" i="3" s="1"/>
  <c r="F84" i="3"/>
  <c r="F88" i="3" s="1"/>
  <c r="C34" i="3" l="1"/>
  <c r="F130" i="15"/>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<sst xmlns="http://schemas.openxmlformats.org/spreadsheetml/2006/main" count="1328" uniqueCount="799">
  <si>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</si>
  <si>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</si>
  <si>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</si>
  <si>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</si>
  <si>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</si>
  <si>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</si>
  <si>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</si>
  <si>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</si>
  <si>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</si>
  <si>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</si>
  <si>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</si>
  <si>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</si>
  <si>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</si>
  <si>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</si>
  <si>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</si>
  <si>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</si>
  <si>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</si>
  <si>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</si>
  <si>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</si>
  <si>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</si>
  <si>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</si>
  <si>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</si>
  <si>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</si>
  <si>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</si>
  <si>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</si>
  <si>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</si>
  <si>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</si>
  <si>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</si>
  <si>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</si>
  <si>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</si>
  <si>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</si>
  <si>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</si>
  <si>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</si>
  <si>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</si>
  <si>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</si>
  <si>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</si>
  <si>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</si>
  <si>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</si>
  <si>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</si>
  <si>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</si>
  <si>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</si>
  <si>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</si>
  <si>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</si>
  <si>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</si>
  <si>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</si>
  <si>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</si>
  <si>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</si>
  <si>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</si>
  <si>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</si>
  <si>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</si>
  <si>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</si>
  <si>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</si>
  <si>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</si>
  <si>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</si>
  <si>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</si>
  <si>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</si>
  <si>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</si>
  <si>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</si>
  <si>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</si>
  <si>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</si>
  <si>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</si>
  <si>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</si>
  <si>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</si>
  <si>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</si>
  <si>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</si>
  <si>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</si>
  <si>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</si>
  <si>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</si>
  <si>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</si>
  <si>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</si>
  <si>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</si>
  <si>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</si>
  <si>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</si>
  <si>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</si>
  <si>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</si>
  <si>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</si>
  <si>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</si>
  <si>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</si>
  <si>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</si>
  <si>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</si>
  <si>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</si>
  <si>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</si>
  <si>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</si>
  <si>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</si>
  <si>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</si>
  <si>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</si>
  <si>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</si>
  <si>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</si>
  <si>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</si>
  <si>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</si>
  <si>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</si>
  <si>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</si>
  <si>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</si>
  <si>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</si>
  <si>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</si>
  <si>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</si>
  <si>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</si>
  <si>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</si>
  <si>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</si>
  <si>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</si>
  <si>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</si>
  <si>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</si>
  <si>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</si>
  <si>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</si>
  <si>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</si>
  <si>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</si>
  <si>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</si>
  <si>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</si>
  <si>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</si>
  <si>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</si>
  <si>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</si>
  <si>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</si>
  <si>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</si>
  <si>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</si>
  <si>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</si>
  <si>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</si>
  <si>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</si>
  <si>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</si>
  <si>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</si>
  <si>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</si>
  <si>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</si>
  <si>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</si>
  <si>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</si>
  <si>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</si>
  <si>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</si>
  <si>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</si>
  <si>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</si>
  <si>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</si>
  <si>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</si>
  <si>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</si>
  <si>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</si>
  <si>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</si>
  <si>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</si>
  <si>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</si>
  <si>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</si>
  <si>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</si>
  <si>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</si>
  <si>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</si>
  <si>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</si>
  <si>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</si>
  <si>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</si>
  <si>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</si>
  <si>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</si>
  <si>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</si>
  <si>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</si>
  <si>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</si>
  <si>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</si>
  <si>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</si>
  <si>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</si>
  <si>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</si>
  <si>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</si>
  <si>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</si>
  <si>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</si>
  <si>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</si>
  <si>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</si>
  <si>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</si>
  <si>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</si>
  <si>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</si>
  <si>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</si>
  <si>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</si>
  <si>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</si>
  <si>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</si>
  <si>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</si>
  <si>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</si>
  <si>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</si>
  <si>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</si>
  <si>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</si>
  <si>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</si>
  <si>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</si>
  <si>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</si>
  <si>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</si>
  <si>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</si>
  <si>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</si>
  <si>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</si>
  <si>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</si>
  <si>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</si>
  <si>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</si>
  <si>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</si>
  <si>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</si>
  <si>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</si>
  <si>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</si>
  <si>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</si>
  <si>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</si>
  <si>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</si>
  <si>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</si>
  <si>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</si>
  <si>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</si>
  <si>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</si>
  <si>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</si>
  <si>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</si>
  <si>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</si>
  <si>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</si>
  <si>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</si>
  <si>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</si>
  <si>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</si>
  <si>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</si>
  <si>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</si>
  <si>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</si>
  <si>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</si>
  <si>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</si>
  <si>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</si>
  <si>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</si>
  <si>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</si>
  <si>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</si>
  <si>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</si>
  <si>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</si>
  <si>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</si>
  <si>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</si>
  <si>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</si>
  <si>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</si>
  <si>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</si>
  <si>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</si>
  <si>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</si>
  <si>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</si>
  <si>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</si>
  <si>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</si>
  <si>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</si>
  <si>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</si>
  <si>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</si>
  <si>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</si>
  <si>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</si>
  <si>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</si>
  <si>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</si>
  <si>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</si>
  <si>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</si>
  <si>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</si>
  <si>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</si>
  <si>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</si>
  <si>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</si>
  <si>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</si>
  <si>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</si>
  <si>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</si>
  <si>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</si>
  <si>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</si>
  <si>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</si>
  <si>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</si>
  <si>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</si>
  <si>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</si>
  <si>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</si>
  <si>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</si>
  <si>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</si>
  <si>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</si>
  <si>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</si>
  <si>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</si>
  <si>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</si>
  <si>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</si>
  <si>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</si>
  <si>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</si>
  <si>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</si>
  <si>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</si>
  <si>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</si>
  <si>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</si>
  <si>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</si>
  <si>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</si>
  <si>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</si>
  <si>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</si>
  <si>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</si>
  <si>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</si>
  <si>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</si>
  <si>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</si>
  <si>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</si>
  <si>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</si>
  <si>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</si>
  <si>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</si>
  <si>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</si>
  <si>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</si>
  <si>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</si>
  <si>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</si>
  <si>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</si>
  <si>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</si>
  <si>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</si>
  <si>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</si>
  <si>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</si>
  <si>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</si>
  <si>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</si>
  <si>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</si>
  <si>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</si>
  <si>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</si>
  <si>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</si>
  <si>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</si>
  <si>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</si>
  <si>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</si>
  <si>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</si>
  <si>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</si>
  <si>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</si>
  <si>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</si>
  <si>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</si>
  <si>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</si>
  <si>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</si>
  <si>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</si>
  <si>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</si>
  <si>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</si>
  <si>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</si>
  <si>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</si>
  <si>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</si>
  <si>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</si>
  <si>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</si>
  <si>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</si>
  <si>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</si>
  <si>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</si>
  <si>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</si>
  <si>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</si>
  <si>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</si>
  <si>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</si>
  <si>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</si>
  <si>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</si>
  <si>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</si>
  <si>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</si>
  <si>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</si>
  <si>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</si>
  <si>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</si>
  <si>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</si>
  <si>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</si>
  <si>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</si>
  <si>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</si>
  <si>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</si>
  <si>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</si>
  <si>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</si>
  <si>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</si>
  <si>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</si>
  <si>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</si>
  <si>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</si>
  <si>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</si>
  <si>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</si>
  <si>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</si>
  <si>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</si>
  <si>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</si>
  <si>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</si>
  <si>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</si>
  <si>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</si>
  <si>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</si>
  <si>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</si>
  <si>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</si>
  <si>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</si>
  <si>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</si>
  <si>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</si>
  <si>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</si>
  <si>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</si>
  <si>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</si>
  <si>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</si>
  <si>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</si>
  <si>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</si>
  <si>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</si>
  <si>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</si>
  <si>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</si>
  <si>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</si>
  <si>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</si>
  <si>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</si>
  <si>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</si>
  <si>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</si>
  <si>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</si>
  <si>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</si>
  <si>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</si>
  <si>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</si>
  <si>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</si>
  <si>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</si>
  <si>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</si>
  <si>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</si>
  <si>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</si>
  <si>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</si>
  <si>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</si>
  <si>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</si>
  <si>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</si>
  <si>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</si>
  <si>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</si>
  <si>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</si>
  <si>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</si>
  <si>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</si>
  <si>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</si>
  <si>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</si>
  <si>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</si>
  <si>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</si>
  <si>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</si>
  <si>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</si>
  <si>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</si>
  <si>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</si>
  <si>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</si>
  <si>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</si>
  <si>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</si>
  <si>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</si>
  <si>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</si>
  <si>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</si>
  <si>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</si>
  <si>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</si>
  <si>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</si>
  <si>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</si>
  <si>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</si>
  <si>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</si>
  <si>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</si>
  <si>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</si>
  <si>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</si>
  <si>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</si>
  <si>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</si>
  <si>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</si>
  <si>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</si>
  <si>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</si>
  <si>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</si>
  <si>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</si>
  <si>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</si>
  <si>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</si>
  <si>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</si>
  <si>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</si>
  <si>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</si>
  <si>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</si>
  <si>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</si>
  <si>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</si>
  <si>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</si>
  <si>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</si>
  <si>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</si>
  <si>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</si>
  <si>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</si>
  <si>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</si>
  <si>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</si>
  <si>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</si>
  <si>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</si>
  <si>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</si>
  <si>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</si>
  <si>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</si>
  <si>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</si>
  <si>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</si>
  <si>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</si>
  <si>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</si>
  <si>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</si>
  <si>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</si>
  <si>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</si>
  <si>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</si>
  <si>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</si>
  <si>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</si>
  <si>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</si>
  <si>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</si>
  <si>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</si>
  <si>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</si>
  <si>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</si>
  <si>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</si>
  <si>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</si>
  <si>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</si>
  <si>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</si>
  <si>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</si>
  <si>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</si>
  <si>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</si>
  <si>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</si>
  <si>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</si>
  <si>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</si>
  <si>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</si>
  <si>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</si>
  <si>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</si>
  <si>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</si>
  <si>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</si>
  <si>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</si>
  <si>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</si>
  <si>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</si>
  <si>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</si>
  <si>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</si>
  <si>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</si>
  <si>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</si>
  <si>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</si>
  <si>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</si>
  <si>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</si>
  <si>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</si>
  <si>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</si>
  <si>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</si>
  <si>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</si>
  <si>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</si>
  <si>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</si>
  <si>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</si>
  <si>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</si>
  <si>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</si>
  <si>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</si>
  <si>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</si>
  <si>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</si>
  <si>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</si>
  <si>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</si>
  <si>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</si>
  <si>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</si>
  <si>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</si>
  <si>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</si>
  <si>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</si>
  <si>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</si>
  <si>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</si>
  <si>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</si>
  <si>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</si>
  <si>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</si>
  <si>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</si>
  <si>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</si>
  <si>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</si>
  <si>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</si>
  <si>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</si>
  <si>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</si>
  <si>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</si>
  <si>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</si>
  <si>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</si>
  <si>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</si>
  <si>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</si>
  <si>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</si>
  <si>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</si>
  <si>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</si>
  <si>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</si>
  <si>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</si>
  <si>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</si>
  <si>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</si>
  <si>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</si>
  <si>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</si>
  <si>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</si>
  <si>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</si>
  <si>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</si>
  <si>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</si>
  <si>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</si>
  <si>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</si>
  <si>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</si>
  <si>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</si>
  <si>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</si>
  <si>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</si>
  <si>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</si>
  <si>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</si>
  <si>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</si>
  <si>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</si>
  <si>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</si>
  <si>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</si>
  <si>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</si>
  <si>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</si>
  <si>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</si>
  <si>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</si>
  <si>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</si>
  <si>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</si>
  <si>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</si>
  <si>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</si>
  <si>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</si>
  <si>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</si>
  <si>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</si>
  <si>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</si>
  <si>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</si>
  <si>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</si>
  <si>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</si>
  <si>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</si>
  <si>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</si>
  <si>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</si>
  <si>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</si>
  <si>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</si>
  <si>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</si>
  <si>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</si>
  <si>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</si>
  <si>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</si>
  <si>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</si>
  <si>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</si>
  <si>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</si>
  <si>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</si>
  <si>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</si>
  <si>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</si>
  <si>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</si>
  <si>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</si>
  <si>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</si>
  <si>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</si>
  <si>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</si>
  <si>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</si>
  <si>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</si>
  <si>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</si>
  <si>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</si>
  <si>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</si>
  <si>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</si>
  <si>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</si>
  <si>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</si>
  <si>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</si>
  <si>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</si>
  <si>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</si>
  <si>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</si>
  <si>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</si>
  <si>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</si>
  <si>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</si>
  <si>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</si>
  <si>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</si>
  <si>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</si>
  <si>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</si>
  <si>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</si>
  <si>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</si>
  <si>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</si>
  <si>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</si>
  <si>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</si>
  <si>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</si>
  <si>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</si>
  <si>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</si>
  <si>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</si>
  <si>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</si>
  <si>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</si>
  <si>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</si>
  <si>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</si>
  <si>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</si>
  <si>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</si>
  <si>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</si>
  <si>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</si>
  <si>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</si>
  <si>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</si>
  <si>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</si>
  <si>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</si>
  <si>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</si>
  <si>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</si>
  <si>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</si>
  <si>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</si>
  <si>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</si>
  <si>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</si>
  <si>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</si>
  <si>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</si>
  <si>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</si>
  <si>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</si>
  <si>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</si>
  <si>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</si>
  <si>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</si>
  <si>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</si>
  <si>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</si>
  <si>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</si>
  <si>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</si>
  <si>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</si>
  <si>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</si>
  <si>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</si>
  <si>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</si>
  <si>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</si>
  <si>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</si>
  <si>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</si>
  <si>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</si>
  <si>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</si>
  <si>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</si>
  <si>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</si>
  <si>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</si>
  <si>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</si>
  <si>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</si>
  <si>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</si>
  <si>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</si>
  <si>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</si>
  <si>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</si>
  <si>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</si>
  <si>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</si>
  <si>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</si>
  <si>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</si>
  <si>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</si>
  <si>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</si>
  <si>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</si>
  <si>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</si>
  <si>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</si>
  <si>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</si>
  <si>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</si>
  <si>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</si>
  <si>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</si>
  <si>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</si>
  <si>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</si>
  <si>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</si>
  <si>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</si>
  <si>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</si>
  <si>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</si>
  <si>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</si>
  <si>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</si>
  <si>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</si>
  <si>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</si>
  <si>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</si>
  <si>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</si>
  <si>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</si>
  <si>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</si>
  <si>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</si>
  <si>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</si>
  <si>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</si>
  <si>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</si>
  <si>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</si>
  <si>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</si>
  <si>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</si>
  <si>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</si>
  <si>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</si>
  <si>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</si>
  <si>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</si>
  <si>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</si>
  <si>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</si>
  <si>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</si>
  <si>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</si>
  <si>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</si>
  <si>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</si>
  <si>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</si>
  <si>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</si>
  <si>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</si>
  <si>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</si>
  <si>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</si>
  <si>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</si>
  <si>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</si>
  <si>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</si>
  <si>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</si>
  <si>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</si>
  <si>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</si>
  <si>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</si>
  <si>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</si>
  <si>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</si>
  <si>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</si>
  <si>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</si>
  <si>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</si>
  <si>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</si>
  <si>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</si>
  <si>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</si>
  <si>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</si>
  <si>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</si>
  <si>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</si>
  <si>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</si>
  <si>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</si>
  <si>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</si>
  <si>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</si>
  <si>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</si>
  <si>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</si>
  <si>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</si>
  <si>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</si>
  <si>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</si>
  <si>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</si>
  <si>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</si>
  <si>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</si>
  <si>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</si>
  <si>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</si>
  <si>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</si>
  <si>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</si>
  <si>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</si>
  <si>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</si>
  <si>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</si>
  <si>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</si>
  <si>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</si>
  <si>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</si>
  <si>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</si>
  <si>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</si>
  <si>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</si>
  <si>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</si>
  <si>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</si>
  <si>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</si>
  <si>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</si>
  <si>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</si>
  <si>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</si>
  <si>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</si>
  <si>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</si>
  <si>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</si>
  <si>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</si>
  <si>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</si>
  <si>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</si>
  <si>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</si>
  <si>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</si>
  <si>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</si>
  <si>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</si>
  <si>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</si>
  <si>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</si>
  <si>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</si>
  <si>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</si>
  <si>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</si>
  <si>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</si>
  <si>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</si>
  <si>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</si>
  <si>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</si>
  <si>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</si>
  <si>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</si>
  <si>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</si>
  <si>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</si>
  <si>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</si>
  <si>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</si>
  <si>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</si>
  <si>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</si>
  <si>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</si>
  <si>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</si>
  <si>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</si>
  <si>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</si>
  <si>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</si>
  <si>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</si>
  <si>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</si>
  <si>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</si>
  <si>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</si>
  <si>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</si>
  <si>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</si>
  <si>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</si>
  <si>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</si>
  <si>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</si>
  <si>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</si>
  <si>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</si>
  <si>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</si>
  <si>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</si>
  <si>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</si>
  <si>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</si>
  <si>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</si>
  <si>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</si>
  <si>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</si>
  <si>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</si>
  <si>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</si>
  <si>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</si>
  <si>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</si>
  <si>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</si>
  <si>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</si>
  <si>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</si>
  <si>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</si>
  <si>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</si>
  <si>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</si>
  <si>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</si>
  <si>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</si>
  <si>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</si>
  <si>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</si>
  <si>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</si>
  <si>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</si>
  <si>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 xml:space="preserve">   Student direct costs, instruction &amp; instiutional support</t>
  </si>
  <si>
    <t>FUND 3</t>
  </si>
  <si>
    <t>FUND 1</t>
  </si>
  <si>
    <t xml:space="preserve">Transfer in (1013.841, F.S) and Reserve </t>
  </si>
  <si>
    <t xml:space="preserve">GASB Lease requierements </t>
  </si>
  <si>
    <t xml:space="preserve"> FTE 2 Justification Accepting Estimates:St. Petersburg College continuously monitors its FTE and accepts the DFC’s FTE-2 overall estimate of 15,720, a 2.4% increase over our FTE-1 adjusted estimate.The DFC’s estimate for the Upper Division is a (3.9%) increase over our FTE-1 estimate. With our Digital Media bachelor program started in Fall 2025 continuing to bring new enrollment and the continued success of recently launched programs (Cardiopulmonary Science, Secondary English Education, Prekindergarten/Primary Education), we expect a larger increase in this category, compared to last year. This is in line with the DFC’s FTE-2 estimate.DFC’s estimated increase in Lower Division AP (2.6%) over FTE-1 estimate is consistent with our estimates. Increased enrollment in our AA pathways, High school programs and FTIC population continue to have a positive impact in this area in 2025-26. A larger increase is expected based on our current Spring enrollment.The DFC estimated an increase in PSV (1.7%) over our FTE-1 estimate. Our associate in science (AS) and certificate program enrollment continues to grow within our larger academic communities (health sciences, business, and public safety). Together with the increased enrollment in the AA pathways, we estimate a slightly larger increase in 2025-26.Our PSAV program enrollment remains steady this year and no significant change is expected as the DFC estimated.The College agrees with the DFC’s estimate for College Prep of a (-1.9%) decrease over the FTE-1 estimate. Enrollment in this area was slightly less than anticipated in Spring 2026.
The DFC estimated an increase in Apprenticeship of (0.5%) over our FTE-1 estimate. The College expects a small increase in this area with the growth of our Teacher Apprenticeship program.  Adjusting Overall Projections:St. Petersburg College has revised its DFC FTE projections for 2027–2031, anticipating increase of 1.1% in 2027 followed by an annual growth of 0.2%–0.3% in following years. The initiatives listed below are expected to maintain a positive enrollment trend for the next 5 years.Program Expansion:The college anticipates strong growth in the upper‑division and PSV categories with the introduction of the Building Construction BAS and three new certificate programs: Financial Technology Specialist, Semiconductor Cleanroom Operator, and Veterinary Assisting. The credits earned in these certificates articulate directly into AS degree pathways and are expected to expand entry points for students, strengthen the enrollment pipeline, and support continued progression into advanced programs.Recruitment Initiatives:1.Enhanced outreach to high school graduates through personalized communication, expanded funding guidance, and deeper faculty engagement in high school settings to boost enrollment.2. Strengthened onboarding and transition support.3. Expanded early outreach: “Apply SPC,” “Next Stop, SPC,” and first-year experience programs.
4. Targeted efforts for stop-outs, adult learners, and readmits via flexible options and short-term credentials.5. Continuing to offer free summer American Government course for graduating seniors at all major campuses.6. Enhanced Baccalaureate admissions tracking to help identify barriers in the admissions process7. Embedding the career conversation in Recruitment to convert more Request for Information into applicationsRetention Initiatives:1. Mandatory orientation for all new students that guide students’ step‑by‑step through the registration process, ensuring they understand requirements, deadlines, and available support.2. Increased campus engagement through Student Life activities.3. Utilizing customized dashboards that will be used to strengthen student success efforts by highlighting risk indicators, tracking progression, and enabling timely interventions that keep students on path to completion.4. Debt Free degree nights where we provide information on ways to get to a debt free degree.</t>
  </si>
  <si>
    <t>FTE 2 Justification Accepting Estimates:St. Petersburg College continuously monitors its FTE and accepts the DFC’s FTE-2 overall estimate of 15,720, a 2.4% increase over our FTE-1 adjusted estimate.The DFC’s estimate for the Upper Division is a (3.9%) increase over our FTE-1 estimate. With our Digital Media bachelor program started in Fall 2025 continuing to bring new enrollment and the continued success of recently launched programs (Cardiopulmonary Science, Secondary English Education, Prekindergarten/Primary Education), we expect a larger increase in this category, compared to last year. This is in line with the DFC’s FTE-2 estimate.DFC’s estimated increase in Lower Division AP (2.6%) over FTE-1 estimate is consistent with our estimates. Increased enrollment in our AA pathways, High school programs and FTIC population continue to have a positive impact in this area in 2025-26. A larger increase is expected based on our current Spring enrollment.The DFC estimated an increase in PSV (1.7%) over our FTE-1 estimate. Our associate in science (AS) and certificate program enrollment continues to grow within our larger academic communities (health sciences, business, and public safety). Together with the increased enrollment in the AA pathways, we estimate a slightly larger increase in 2025-26.Our PSAV program enrollment remains steady this year and no significant change is expected as the DFC estimated.The College agrees with the DFC’s estimate for College Prep of a (-1.9%) decrease over the FTE-1 estimate. Enrollment in this area was slightly less than anticipated in Spring 2026.
The DFC estimated an increase in Apprenticeship of (0.5%) over our FTE-1 estimate. The College expects a small increase in this area with the growth of our Teacher Apprenticeship program.  
Adjusting Overall Projections:St. Petersburg College has revised its DFC FTE projections for 2027–2031, anticipating increase of 1.1% in 2027 followed by an annual growth of 0.2%–0.3% in following years. The initiatives listed below are expected to maintain a positive enrollment trend for the next 5 years.Program Expansion:The college anticipates strong growth in the upper‑division and PSV categories with the introduction of the Building Construction BAS and three new certificate programs: Financial Technology Specialist, Semiconductor Cleanroom Operator, and Veterinary Assisting. The credits earned in these certificates articulate directly into AS degree pathways and are expected to expand entry points for students, strengthen the enrollment pipeline, and support continued progression into advanced programs.Recruitment Initiatives:1.Enhanced outreach to high school graduates through personalized communication, expanded funding guidance, and deeper faculty engagement in high school settings to boost enrollment.2. Strengthened onboarding and transition support.3. Expanded early outreach: “Apply SPC,” “Next Stop, SPC,” and first-year experience programs.4. Targeted efforts for stop-outs, adult learners, and readmits via flexible options and short-term credentials.
5. Continuing to offer free summer American Government course for graduating seniors at all major campuses.6. Enhanced Baccalaureate admissions tracking to help identify barriers in the admissions process
7. Embedding the career conversation in Recruitment to convert more Request for Information into applications. Retention Initiatives:1. Mandatory orientation for all new students that guide students’ step‑by‑step through the registration process, ensuring they understand requirements, deadlines, and available support.2. Increased campus engagement through Student Life activities.3. Utilizing customized dashboards that will be used to strengthen student success efforts by highlighting risk indicators, tracking progression, and enabling timely interventions that keep students on path to completion.4. Debt Free degree nights where we provide information on ways to get to a debt free degree.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</si>
</sst>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7.bin"/><Relationship Id="rId4" Type="http://schemas.microsoft.com/office/2017/10/relationships/threadedComment" Target="../threadedComments/threadedComment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724</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732</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topLeftCell="A9"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7" t="s">
        <v>759</v>
      </c>
      <c r="C5" s="1028"/>
      <c r="D5" s="1029"/>
      <c r="E5" s="563" t="s">
        <v>10</v>
      </c>
      <c r="F5" s="13"/>
    </row>
    <row r="6" spans="1:10" ht="89.1" customHeight="1" thickBot="1">
      <c r="A6" s="280" t="s">
        <v>17</v>
      </c>
      <c r="B6" s="55" t="s">
        <v>767</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753</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701</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768</v>
      </c>
      <c r="B37" s="821"/>
      <c r="C37" s="821"/>
      <c r="D37" s="821"/>
      <c r="E37" s="461"/>
      <c r="K37" s="399"/>
    </row>
    <row r="38" spans="1:12" s="1162" customFormat="1" ht="29.25" customHeight="1">
      <c r="A38" s="1166" t="s">
        <v>769</v>
      </c>
      <c r="B38" s="1031"/>
      <c r="C38" s="1031"/>
      <c r="D38" s="1031"/>
      <c r="E38" s="1161"/>
      <c r="K38" s="1163"/>
    </row>
    <row r="39" spans="1:12" ht="36.6" hidden="1" customHeight="1" thickBot="1">
      <c r="A39" s="456" t="s">
        <v>15</v>
      </c>
      <c r="B39" s="457"/>
      <c r="C39" s="457"/>
      <c r="K39" s="163"/>
    </row>
    <row r="40" spans="1:12" ht="24" hidden="1" customHeight="1" thickBot="1">
      <c r="A40" s="38" t="s">
        <v>761</v>
      </c>
      <c r="B40" s="1167" t="s">
        <v>789</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770</v>
      </c>
      <c r="C43" s="596"/>
      <c r="D43" s="596"/>
      <c r="E43" s="597">
        <f t="shared" ref="E43:E60" si="1">C43+D43</f>
        <v>0</v>
      </c>
    </row>
    <row r="44" spans="1:12" ht="63" hidden="1">
      <c r="A44" s="910" t="s">
        <v>22</v>
      </c>
      <c r="B44" s="598" t="s">
        <v>771</v>
      </c>
      <c r="C44" s="596"/>
      <c r="D44" s="596"/>
      <c r="E44" s="597">
        <f t="shared" si="1"/>
        <v>0</v>
      </c>
    </row>
    <row r="45" spans="1:12" ht="47.25" hidden="1" customHeight="1">
      <c r="A45" s="908" t="s">
        <v>24</v>
      </c>
      <c r="B45" s="598" t="s">
        <v>786</v>
      </c>
      <c r="C45" s="596"/>
      <c r="D45" s="596"/>
      <c r="E45" s="597">
        <f t="shared" si="1"/>
        <v>0</v>
      </c>
    </row>
    <row r="46" spans="1:12" ht="84.75" hidden="1" customHeight="1">
      <c r="A46" s="908" t="s">
        <v>24</v>
      </c>
      <c r="B46" s="983" t="s">
        <v>772</v>
      </c>
      <c r="C46" s="984"/>
      <c r="D46" s="984"/>
      <c r="E46" s="597">
        <f t="shared" si="1"/>
        <v>0</v>
      </c>
    </row>
    <row r="47" spans="1:12" ht="84.75" hidden="1" customHeight="1">
      <c r="A47" s="908" t="s">
        <v>700</v>
      </c>
      <c r="B47" s="983" t="s">
        <v>773</v>
      </c>
      <c r="C47" s="984"/>
      <c r="D47" s="984"/>
      <c r="E47" s="597">
        <f t="shared" si="1"/>
        <v>0</v>
      </c>
      <c r="G47" s="155" t="s">
        <v>10</v>
      </c>
    </row>
    <row r="48" spans="1:12" ht="66" hidden="1" customHeight="1">
      <c r="A48" s="908" t="s">
        <v>753</v>
      </c>
      <c r="B48" s="983" t="s">
        <v>787</v>
      </c>
      <c r="C48" s="984"/>
      <c r="D48" s="984"/>
      <c r="E48" s="597">
        <f t="shared" si="1"/>
        <v>0</v>
      </c>
      <c r="G48" s="155"/>
    </row>
    <row r="49" spans="1:5" ht="62.45" hidden="1" customHeight="1">
      <c r="A49" s="908" t="s">
        <v>753</v>
      </c>
      <c r="B49" s="598" t="s">
        <v>774</v>
      </c>
      <c r="C49" s="596"/>
      <c r="D49" s="596"/>
      <c r="E49" s="597">
        <f t="shared" si="1"/>
        <v>0</v>
      </c>
    </row>
    <row r="50" spans="1:5" ht="43.5" hidden="1" customHeight="1">
      <c r="A50" s="908" t="s">
        <v>33</v>
      </c>
      <c r="B50" s="983" t="s">
        <v>775</v>
      </c>
      <c r="C50" s="984"/>
      <c r="D50" s="984"/>
      <c r="E50" s="597">
        <f t="shared" si="1"/>
        <v>0</v>
      </c>
    </row>
    <row r="51" spans="1:5" ht="62.45" hidden="1" customHeight="1">
      <c r="A51" s="1096" t="s">
        <v>35</v>
      </c>
      <c r="B51" s="983" t="s">
        <v>776</v>
      </c>
      <c r="C51" s="984"/>
      <c r="D51" s="984"/>
      <c r="E51" s="1081">
        <f t="shared" si="1"/>
        <v>0</v>
      </c>
    </row>
    <row r="52" spans="1:5" ht="62.45" hidden="1" customHeight="1" thickBot="1">
      <c r="A52" s="1101" t="s">
        <v>777</v>
      </c>
      <c r="B52" s="1102" t="s">
        <v>778</v>
      </c>
      <c r="C52" s="1103"/>
      <c r="D52" s="1103"/>
      <c r="E52" s="1104">
        <f t="shared" si="1"/>
        <v>0</v>
      </c>
    </row>
    <row r="53" spans="1:5" ht="62.45" hidden="1" customHeight="1" thickBot="1">
      <c r="A53" s="1169" t="s">
        <v>37</v>
      </c>
      <c r="B53" s="1170" t="s">
        <v>788</v>
      </c>
      <c r="C53" s="1171"/>
      <c r="D53" s="1171"/>
      <c r="E53" s="1104">
        <f t="shared" si="1"/>
        <v>0</v>
      </c>
    </row>
    <row r="54" spans="1:5" ht="62.45" hidden="1" customHeight="1" thickBot="1">
      <c r="A54" s="1101" t="s">
        <v>37</v>
      </c>
      <c r="B54" s="1102" t="s">
        <v>779</v>
      </c>
      <c r="C54" s="1103"/>
      <c r="D54" s="1103"/>
      <c r="E54" s="1104">
        <f t="shared" si="1"/>
        <v>0</v>
      </c>
    </row>
    <row r="55" spans="1:5" ht="62.45" hidden="1" customHeight="1" thickBot="1">
      <c r="A55" s="1169" t="s">
        <v>38</v>
      </c>
      <c r="B55" s="1170" t="s">
        <v>780</v>
      </c>
      <c r="C55" s="1171"/>
      <c r="D55" s="1171"/>
      <c r="E55" s="1172">
        <f t="shared" si="1"/>
        <v>0</v>
      </c>
    </row>
    <row r="56" spans="1:5" ht="62.45" hidden="1" customHeight="1" thickBot="1">
      <c r="A56" s="1169" t="s">
        <v>43</v>
      </c>
      <c r="B56" s="1173" t="s">
        <v>781</v>
      </c>
      <c r="C56" s="1171"/>
      <c r="D56" s="1171"/>
      <c r="E56" s="1172">
        <f t="shared" si="1"/>
        <v>0</v>
      </c>
    </row>
    <row r="57" spans="1:5" ht="62.45" hidden="1" customHeight="1" thickBot="1">
      <c r="A57" s="1169" t="s">
        <v>44</v>
      </c>
      <c r="B57" s="1174" t="s">
        <v>782</v>
      </c>
      <c r="C57" s="1171"/>
      <c r="D57" s="1171"/>
      <c r="E57" s="1172">
        <f t="shared" si="1"/>
        <v>0</v>
      </c>
    </row>
    <row r="58" spans="1:5" ht="62.45" hidden="1" customHeight="1" thickBot="1">
      <c r="A58" s="1169" t="s">
        <v>44</v>
      </c>
      <c r="B58" s="1175" t="s">
        <v>783</v>
      </c>
      <c r="C58" s="1171"/>
      <c r="D58" s="1171"/>
      <c r="E58" s="1172">
        <f t="shared" si="1"/>
        <v>0</v>
      </c>
    </row>
    <row r="59" spans="1:5" ht="62.45" hidden="1" customHeight="1" thickBot="1">
      <c r="A59" s="1169" t="s">
        <v>41</v>
      </c>
      <c r="B59" s="1175" t="s">
        <v>784</v>
      </c>
      <c r="C59" s="1171"/>
      <c r="D59" s="1171"/>
      <c r="E59" s="1172">
        <f t="shared" si="1"/>
        <v>0</v>
      </c>
    </row>
    <row r="60" spans="1:5" ht="62.45" hidden="1" customHeight="1" thickBot="1">
      <c r="A60" s="1169" t="s">
        <v>41</v>
      </c>
      <c r="B60" s="1175" t="s">
        <v>785</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8" t="s">
        <v>703</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1000" t="s">
        <v>757</v>
      </c>
      <c r="C72" s="1001"/>
      <c r="D72" s="1001"/>
      <c r="E72" s="1002"/>
      <c r="F72" s="12"/>
      <c r="G72" s="10"/>
    </row>
    <row r="73" spans="1:7" ht="87.6" customHeight="1" thickBot="1">
      <c r="A73" s="34" t="s">
        <v>17</v>
      </c>
      <c r="B73" s="18" t="s">
        <v>760</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752</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755</v>
      </c>
      <c r="B111" s="987" t="s">
        <v>754</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678</v>
      </c>
      <c r="U113" s="26"/>
      <c r="V113" s="27"/>
      <c r="W113" s="28"/>
      <c r="X113" s="29"/>
      <c r="Y113" s="53"/>
      <c r="Z113" s="1006"/>
      <c r="AA113" s="1007"/>
      <c r="AB113" s="1008"/>
      <c r="AC113" s="13"/>
      <c r="AD113" s="1095" t="s">
        <v>764</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699</v>
      </c>
      <c r="R114" s="1022"/>
      <c r="S114" s="1023"/>
      <c r="T114" s="1080"/>
      <c r="U114" s="15"/>
      <c r="V114" s="1137" t="s">
        <v>766</v>
      </c>
      <c r="W114" s="1140"/>
      <c r="X114" s="1141"/>
      <c r="Y114" s="1139"/>
      <c r="Z114" s="1137" t="s">
        <v>76</v>
      </c>
      <c r="AA114" s="1138"/>
      <c r="AB114" s="995"/>
      <c r="AD114" s="37" t="s">
        <v>77</v>
      </c>
      <c r="AF114" s="13"/>
      <c r="AI114" s="1026" t="s">
        <v>679</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762</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763</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698</v>
      </c>
      <c r="B152" s="993"/>
      <c r="C152" s="1069"/>
      <c r="D152" s="1069"/>
    </row>
    <row r="153" spans="1:44" ht="21.75" thickBot="1">
      <c r="A153" s="56"/>
      <c r="B153" s="1160" t="s">
        <v>790</v>
      </c>
    </row>
    <row r="154" spans="1:44" ht="21.75" thickBot="1">
      <c r="A154" s="56">
        <v>1</v>
      </c>
      <c r="B154" s="46">
        <v>2</v>
      </c>
    </row>
    <row r="155" spans="1:44" ht="57" customHeight="1" thickBot="1">
      <c r="A155" s="32" t="s">
        <v>147</v>
      </c>
      <c r="B155" s="1065" t="s">
        <v>759</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698</v>
      </c>
      <c r="B187" s="993"/>
    </row>
    <row r="188" spans="1:2" ht="21.75" thickBot="1">
      <c r="A188" s="56"/>
      <c r="B188" s="57" t="s">
        <v>790</v>
      </c>
    </row>
    <row r="189" spans="1:2" ht="21.75" thickBot="1">
      <c r="A189" s="56">
        <v>1</v>
      </c>
      <c r="B189" s="46">
        <v>2</v>
      </c>
    </row>
    <row r="190" spans="1:2" ht="54" thickBot="1">
      <c r="A190" s="1071" t="s">
        <v>680</v>
      </c>
      <c r="B190" s="1065" t="s">
        <v>759</v>
      </c>
    </row>
    <row r="191" spans="1:2" ht="42.75" thickBot="1">
      <c r="A191" s="280" t="s">
        <v>17</v>
      </c>
      <c r="B191" s="17" t="s">
        <v>680</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topLeftCell="A46"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01.14062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725</v>
      </c>
      <c r="B2" s="868"/>
      <c r="C2" s="868"/>
      <c r="D2" s="868"/>
      <c r="E2" s="868"/>
      <c r="F2" s="868"/>
      <c r="G2" s="868"/>
    </row>
    <row r="3" spans="1:9" ht="20.100000000000001" customHeight="1">
      <c r="A3" s="868"/>
      <c r="B3" s="868"/>
      <c r="C3" s="868"/>
      <c r="D3" s="868"/>
      <c r="E3" s="868"/>
      <c r="F3" s="868"/>
      <c r="G3" s="868"/>
      <c r="H3" s="82"/>
    </row>
    <row r="4" spans="1:9" ht="28.35" customHeight="1">
      <c r="A4" s="1085" t="s">
        <v>693</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41</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726</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0.16158470717007883</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72720</v>
      </c>
      <c r="E44" s="108">
        <f>+'EXHIBIT C'!F10</f>
        <v>74853.4589824</v>
      </c>
      <c r="F44" s="109">
        <f t="shared" ref="F44:F50" si="0">IF(D44=0,"0",(E44/D44-1))</f>
        <v>2.9337994807480783E-2</v>
      </c>
      <c r="G44" s="110" t="str">
        <f t="shared" ref="G44:G50" si="1">IF(OR(F44&gt;3%, F44&lt;-3%),"YES","NO")</f>
        <v>NO</v>
      </c>
      <c r="H44" s="82"/>
    </row>
    <row r="45" spans="1:8" ht="20.100000000000001" customHeight="1">
      <c r="C45" s="111" t="s">
        <v>123</v>
      </c>
      <c r="D45" s="620">
        <f>VLOOKUP($D$7,VLOOKUP!$A$116:$S$144,5)*30+D60</f>
        <v>216675.14255543819</v>
      </c>
      <c r="E45" s="112">
        <f>+'EXHIBIT C'!F11</f>
        <v>237855.312577</v>
      </c>
      <c r="F45" s="621">
        <f t="shared" si="0"/>
        <v>9.7750806907362264E-2</v>
      </c>
      <c r="G45" s="622" t="str">
        <f t="shared" si="1"/>
        <v>YES</v>
      </c>
      <c r="H45" s="82"/>
    </row>
    <row r="46" spans="1:8" ht="20.100000000000001" customHeight="1">
      <c r="C46" s="623" t="s">
        <v>124</v>
      </c>
      <c r="D46" s="624">
        <f>VLOOKUP($D$7,VLOOKUP!$A$116:$S$144,8)*30</f>
        <v>114973.08327081769</v>
      </c>
      <c r="E46" s="625">
        <f>+'EXHIBIT C'!F12</f>
        <v>112195.465777</v>
      </c>
      <c r="F46" s="621">
        <f t="shared" si="0"/>
        <v>-2.4158850183003677E-2</v>
      </c>
      <c r="G46" s="622" t="str">
        <f t="shared" si="1"/>
        <v>NO</v>
      </c>
      <c r="H46" s="82"/>
    </row>
    <row r="47" spans="1:8" ht="20.100000000000001" customHeight="1">
      <c r="C47" s="623" t="s">
        <v>74</v>
      </c>
      <c r="D47" s="624">
        <f>VLOOKUP($D$7,VLOOKUP!$A$116:$S$144,17)*30</f>
        <v>3789.2364080635307</v>
      </c>
      <c r="E47" s="625">
        <f>+'EXHIBIT C'!F13</f>
        <v>5699.7084548100001</v>
      </c>
      <c r="F47" s="621">
        <f t="shared" si="0"/>
        <v>0.50418391491250514</v>
      </c>
      <c r="G47" s="622" t="str">
        <f t="shared" si="1"/>
        <v>YES</v>
      </c>
      <c r="H47" s="82"/>
    </row>
    <row r="48" spans="1:8" ht="20.100000000000001" customHeight="1">
      <c r="C48" s="623" t="s">
        <v>125</v>
      </c>
      <c r="D48" s="624">
        <f>VLOOKUP($D$7,VLOOKUP!$A$116:$S$144,11)*30</f>
        <v>9658.4821700700995</v>
      </c>
      <c r="E48" s="625">
        <f>+'EXHIBIT C'!F14</f>
        <v>13788.0528786</v>
      </c>
      <c r="F48" s="621">
        <f t="shared" si="0"/>
        <v>0.42755897208431959</v>
      </c>
      <c r="G48" s="622" t="str">
        <f t="shared" si="1"/>
        <v>YES</v>
      </c>
      <c r="H48" s="82"/>
    </row>
    <row r="49" spans="3:8" ht="20.100000000000001" customHeight="1" thickBot="1">
      <c r="C49" s="626" t="s">
        <v>126</v>
      </c>
      <c r="D49" s="627">
        <f>VLOOKUP($D$7,VLOOKUP!$A$116:$S$144,14)*30</f>
        <v>0</v>
      </c>
      <c r="E49" s="628">
        <f>+'EXHIBIT C'!F15</f>
        <v>0</v>
      </c>
      <c r="F49" s="629" t="str">
        <f t="shared" si="0"/>
        <v>0</v>
      </c>
      <c r="G49" s="630" t="str">
        <f t="shared" si="1"/>
        <v>NO</v>
      </c>
      <c r="H49" s="82"/>
    </row>
    <row r="50" spans="3:8" ht="20.100000000000001" customHeight="1" thickBot="1">
      <c r="C50" s="113" t="s">
        <v>47</v>
      </c>
      <c r="D50" s="114">
        <f>SUM(D44:D49)</f>
        <v>417815.94440438953</v>
      </c>
      <c r="E50" s="115">
        <f>+'EXHIBIT C'!F17</f>
        <v>444391.99866981007</v>
      </c>
      <c r="F50" s="116">
        <f t="shared" si="0"/>
        <v>6.360708494096734E-2</v>
      </c>
      <c r="G50" s="117" t="str">
        <f t="shared" si="1"/>
        <v>YES</v>
      </c>
      <c r="H50" s="82"/>
    </row>
    <row r="51" spans="3:8" ht="46.5" customHeight="1" thickBot="1">
      <c r="C51" s="871" t="s">
        <v>127</v>
      </c>
      <c r="D51" s="872"/>
      <c r="E51" s="872"/>
      <c r="F51" s="872"/>
      <c r="G51" s="873"/>
      <c r="H51" s="82"/>
    </row>
    <row r="52" spans="3:8" ht="24.6" customHeight="1" thickBot="1">
      <c r="C52" s="795" t="s">
        <v>694</v>
      </c>
      <c r="D52" s="796"/>
      <c r="E52" s="796"/>
      <c r="F52" s="796"/>
      <c r="G52" s="797"/>
      <c r="H52" s="118"/>
    </row>
    <row r="53" spans="3:8" ht="408.75" customHeight="1" thickBot="1">
      <c r="C53" s="1045" t="s">
        <v>797</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1562.0985010700001</v>
      </c>
      <c r="F59" s="632" t="str">
        <f t="shared" ref="F59:F65" si="2">IF(D59=0,"0",(E59/D59-1))</f>
        <v>0</v>
      </c>
      <c r="G59" s="633" t="str">
        <f>IF(OR(F59&gt;5%, F59&lt;-5%),"YES","NO")</f>
        <v>NO</v>
      </c>
    </row>
    <row r="60" spans="3:8" ht="20.100000000000001" customHeight="1">
      <c r="C60" s="111" t="s">
        <v>123</v>
      </c>
      <c r="D60" s="631">
        <f>VLOOKUP($D$7,VLOOKUP!$A$116:$S$144,6)*30</f>
        <v>9565.2813763618105</v>
      </c>
      <c r="E60" s="125">
        <f>+'EXHIBIT C'!D20</f>
        <v>10251.3190928</v>
      </c>
      <c r="F60" s="632">
        <f t="shared" si="2"/>
        <v>7.1721645129390499E-2</v>
      </c>
      <c r="G60" s="633" t="str">
        <f t="shared" ref="G60:G65" si="3">IF(OR(F60&gt;5%, F60&lt;-5%),"YES","NO")</f>
        <v>YES</v>
      </c>
      <c r="H60" s="82"/>
    </row>
    <row r="61" spans="3:8" ht="20.100000000000001" customHeight="1">
      <c r="C61" s="623" t="s">
        <v>124</v>
      </c>
      <c r="D61" s="634">
        <f>VLOOKUP($D$7,VLOOKUP!$A$116:$S$144,9)*30</f>
        <v>4296.5401350337579</v>
      </c>
      <c r="E61" s="635">
        <f>+'EXHIBIT C'!D21</f>
        <v>4198.0162159900001</v>
      </c>
      <c r="F61" s="632">
        <f t="shared" si="2"/>
        <v>-2.2930990040195165E-2</v>
      </c>
      <c r="G61" s="633" t="str">
        <f t="shared" si="3"/>
        <v>NO</v>
      </c>
      <c r="H61" s="82"/>
    </row>
    <row r="62" spans="3:8" ht="20.100000000000001" customHeight="1">
      <c r="C62" s="623" t="s">
        <v>74</v>
      </c>
      <c r="D62" s="634">
        <f>VLOOKUP($D$7,VLOOKUP!$A$116:$S$144,18)*30</f>
        <v>1880.7635919364693</v>
      </c>
      <c r="E62" s="635">
        <f>+'EXHIBIT C'!D22</f>
        <v>242.93071615900001</v>
      </c>
      <c r="F62" s="632">
        <f t="shared" si="2"/>
        <v>-0.87083399678697848</v>
      </c>
      <c r="G62" s="633" t="str">
        <f t="shared" si="3"/>
        <v>YES</v>
      </c>
      <c r="H62" s="82"/>
    </row>
    <row r="63" spans="3:8" ht="20.100000000000001" customHeight="1">
      <c r="C63" s="623" t="s">
        <v>125</v>
      </c>
      <c r="D63" s="634">
        <f>VLOOKUP($D$7,VLOOKUP!$A$116:$S$144,12)*30</f>
        <v>1201.5178299298993</v>
      </c>
      <c r="E63" s="635">
        <f>+'EXHIBIT C'!D23</f>
        <v>1176.68024859</v>
      </c>
      <c r="F63" s="632">
        <f t="shared" si="2"/>
        <v>-2.0671837505189972E-2</v>
      </c>
      <c r="G63" s="633" t="str">
        <f t="shared" si="3"/>
        <v>NO</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16944.102933261936</v>
      </c>
      <c r="E65" s="127">
        <f>SUM(E59:E64)</f>
        <v>17431.044774609003</v>
      </c>
      <c r="F65" s="128">
        <f t="shared" si="2"/>
        <v>2.8738130502688364E-2</v>
      </c>
      <c r="G65" s="129" t="str">
        <f t="shared" si="3"/>
        <v>NO</v>
      </c>
      <c r="H65" s="82"/>
    </row>
    <row r="66" spans="1:8" ht="42" customHeight="1" thickBot="1">
      <c r="C66" s="871" t="s">
        <v>132</v>
      </c>
      <c r="D66" s="872"/>
      <c r="E66" s="872"/>
      <c r="F66" s="872"/>
      <c r="G66" s="873"/>
      <c r="H66" s="82"/>
    </row>
    <row r="67" spans="1:8" ht="24.6" customHeight="1" thickBot="1">
      <c r="A67" s="92"/>
      <c r="B67" s="92"/>
      <c r="C67" s="792" t="s">
        <v>694</v>
      </c>
      <c r="D67" s="793"/>
      <c r="E67" s="793"/>
      <c r="F67" s="793"/>
      <c r="G67" s="794"/>
      <c r="H67" s="82"/>
    </row>
    <row r="68" spans="1:8" ht="409.5" customHeight="1" thickBot="1">
      <c r="A68" s="92"/>
      <c r="B68" s="92"/>
      <c r="C68" s="1048" t="s">
        <v>798</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81244931</v>
      </c>
      <c r="E84" s="1086">
        <f>+'EXHIBIT D'!G77</f>
        <v>81244931</v>
      </c>
      <c r="F84" s="1086">
        <f>D84-E84</f>
        <v>0</v>
      </c>
      <c r="G84" s="82"/>
      <c r="H84" s="82"/>
    </row>
    <row r="85" spans="1:8" ht="20.100000000000001" customHeight="1">
      <c r="A85" s="92"/>
      <c r="B85" s="92"/>
      <c r="C85" s="642" t="s">
        <v>147</v>
      </c>
      <c r="D85" s="641">
        <f>VLOOKUP($D$7,VLOOKUP!$A$157:$B$185,2)</f>
        <v>1479966</v>
      </c>
      <c r="E85" s="1086">
        <f>'EXHIBIT D'!G79</f>
        <v>1479966</v>
      </c>
      <c r="F85" s="1086">
        <f>D85-E85</f>
        <v>0</v>
      </c>
      <c r="G85" s="82"/>
      <c r="H85" s="82"/>
    </row>
    <row r="86" spans="1:8" ht="20.100000000000001" customHeight="1">
      <c r="A86" s="92"/>
      <c r="B86" s="92"/>
      <c r="C86" s="642" t="s">
        <v>148</v>
      </c>
      <c r="D86" s="641">
        <f>VLOOKUP($D$7,VLOOKUP!$A$7:$E$35,3)</f>
        <v>14666330</v>
      </c>
      <c r="E86" s="1086">
        <f>'EXHIBIT D'!G82</f>
        <v>14666330</v>
      </c>
      <c r="F86" s="1086">
        <f>D86-E86</f>
        <v>0</v>
      </c>
      <c r="G86" s="82"/>
      <c r="H86" s="82"/>
    </row>
    <row r="87" spans="1:8" ht="20.100000000000001" customHeight="1" thickBot="1">
      <c r="A87" s="91"/>
      <c r="B87" s="91"/>
      <c r="C87" s="137" t="s">
        <v>680</v>
      </c>
      <c r="D87" s="641">
        <f>VLOOKUP($D$7,VLOOKUP!$A$192:$B$220,2)</f>
        <v>1845523</v>
      </c>
      <c r="E87" s="1087">
        <f>'EXHIBIT D'!G78</f>
        <v>1845523</v>
      </c>
      <c r="F87" s="1086">
        <f>D87-E87</f>
        <v>0</v>
      </c>
      <c r="G87" s="82"/>
      <c r="H87" s="82"/>
    </row>
    <row r="88" spans="1:8" ht="20.100000000000001" customHeight="1" thickBot="1">
      <c r="A88" s="91"/>
      <c r="B88" s="91"/>
      <c r="C88" s="138" t="s">
        <v>149</v>
      </c>
      <c r="D88" s="139">
        <f>SUM(D84:D87)</f>
        <v>99236750</v>
      </c>
      <c r="E88" s="139">
        <f>SUM(E84:E87)</f>
        <v>99236750</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765</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58967500</v>
      </c>
      <c r="D101" s="786" t="s">
        <v>728</v>
      </c>
      <c r="E101" s="786"/>
      <c r="F101" s="786"/>
      <c r="G101" s="82"/>
      <c r="H101" s="82"/>
    </row>
    <row r="102" spans="1:8" ht="20.100000000000001" customHeight="1">
      <c r="A102" s="89"/>
      <c r="B102" s="89"/>
      <c r="C102" s="644">
        <f>'EXHIBIT D'!G266-'EXHIBIT D'!G252-'EXHIBIT D'!G264</f>
        <v>58967500</v>
      </c>
      <c r="D102" s="788" t="s">
        <v>729</v>
      </c>
      <c r="E102" s="788"/>
      <c r="F102" s="788"/>
      <c r="G102" s="82"/>
      <c r="H102" s="82"/>
    </row>
    <row r="103" spans="1:8" ht="66.599999999999994" customHeight="1">
      <c r="A103" s="145"/>
      <c r="B103" s="145"/>
      <c r="C103" s="645">
        <f>C101-C102</f>
        <v>0</v>
      </c>
      <c r="D103" s="876" t="s">
        <v>687</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691</v>
      </c>
      <c r="D106" s="869"/>
      <c r="E106" s="869"/>
      <c r="F106" s="869"/>
      <c r="G106" s="869"/>
      <c r="H106" s="787"/>
    </row>
    <row r="107" spans="1:8" ht="20.100000000000001" customHeight="1">
      <c r="A107" s="145"/>
      <c r="B107" s="145"/>
    </row>
    <row r="108" spans="1:8" ht="24.75" customHeight="1">
      <c r="A108" s="145"/>
      <c r="B108" s="145"/>
      <c r="C108" s="148">
        <f>'EXHIBIT A'!E14</f>
        <v>129400000</v>
      </c>
      <c r="D108" s="11" t="s">
        <v>730</v>
      </c>
    </row>
    <row r="109" spans="1:8" ht="26.25" customHeight="1">
      <c r="A109" s="145"/>
      <c r="B109" s="145"/>
      <c r="C109" s="646">
        <f>'EXHIBIT A'!E36</f>
        <v>130150000</v>
      </c>
      <c r="D109" s="11" t="s">
        <v>731</v>
      </c>
    </row>
    <row r="110" spans="1:8" ht="26.1" customHeight="1">
      <c r="A110" s="145"/>
      <c r="B110" s="145"/>
      <c r="C110" s="647">
        <f>C108-C109</f>
        <v>-750000</v>
      </c>
      <c r="D110" s="83" t="s">
        <v>157</v>
      </c>
      <c r="E110" s="83"/>
      <c r="F110" s="83"/>
      <c r="G110" s="83"/>
    </row>
    <row r="111" spans="1:8" ht="20.100000000000001" customHeight="1">
      <c r="A111" s="145"/>
      <c r="B111" s="145"/>
      <c r="C111" s="148"/>
    </row>
    <row r="112" spans="1:8" ht="26.1" customHeight="1">
      <c r="A112" s="145"/>
      <c r="B112" s="145"/>
      <c r="C112" s="645">
        <f>'EXHIBIT D'!G186</f>
        <v>750000</v>
      </c>
      <c r="D112" s="142" t="s">
        <v>158</v>
      </c>
      <c r="E112" s="86"/>
      <c r="F112" s="86"/>
    </row>
    <row r="113" spans="1:8" ht="20.100000000000001" customHeight="1"/>
    <row r="114" spans="1:8" ht="38.450000000000003" customHeight="1">
      <c r="C114" s="1089">
        <f>C110+C112</f>
        <v>0</v>
      </c>
      <c r="D114" s="876" t="s">
        <v>688</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91.790000000073533</v>
      </c>
      <c r="D119" s="11" t="s">
        <v>78</v>
      </c>
    </row>
    <row r="120" spans="1:8" ht="20.100000000000001" customHeight="1">
      <c r="C120" s="151"/>
    </row>
    <row r="121" spans="1:8" ht="20.100000000000001" customHeight="1">
      <c r="C121" s="152">
        <f>IF('EXHIBIT G'!D118=0,"No Credit Hours or Not Applicable",('EXHIBIT G'!D118/'EXHIBIT C'!D19))</f>
        <v>275.53000000011707</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689</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690</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714</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695</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hVj3W5mLJKvWkhg+9Cbd4PyYhbV43RHq9sWw+GARB5SQ4Q7wSEz829QuTwYEJIfIEzfGWkqmGjGPmg00U4vdOw==" saltValue="rCKFos+6YgE4HXQYoFCGFA=="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733</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St. Petersburg College</v>
      </c>
      <c r="D8" s="803"/>
      <c r="E8" s="803"/>
      <c r="F8" s="273"/>
      <c r="G8" s="273"/>
    </row>
    <row r="9" spans="2:7" ht="25.35" customHeight="1"/>
    <row r="10" spans="2:7" ht="41.45" customHeight="1">
      <c r="E10" s="554" t="s">
        <v>170</v>
      </c>
    </row>
    <row r="11" spans="2:7" ht="25.35" customHeight="1">
      <c r="B11" s="22" t="s">
        <v>734</v>
      </c>
      <c r="D11" s="22"/>
      <c r="E11" s="155"/>
    </row>
    <row r="12" spans="2:7" ht="25.35" customHeight="1">
      <c r="B12" s="22"/>
      <c r="C12" s="22"/>
      <c r="D12" s="22"/>
    </row>
    <row r="13" spans="2:7" ht="25.35" customHeight="1">
      <c r="B13" s="11" t="s">
        <v>735</v>
      </c>
      <c r="C13" s="22"/>
      <c r="D13" s="22"/>
      <c r="E13" s="1094">
        <v>56800000</v>
      </c>
    </row>
    <row r="14" spans="2:7" ht="25.35" customHeight="1">
      <c r="B14" s="11" t="s">
        <v>171</v>
      </c>
      <c r="D14" s="22"/>
      <c r="E14" s="1157">
        <v>129400000</v>
      </c>
    </row>
    <row r="15" spans="2:7" ht="25.35" customHeight="1">
      <c r="B15" s="22"/>
      <c r="D15" s="22"/>
      <c r="E15" s="156"/>
    </row>
    <row r="16" spans="2:7" ht="25.35" customHeight="1">
      <c r="B16" s="11" t="s">
        <v>736</v>
      </c>
      <c r="C16" s="22"/>
      <c r="D16" s="22"/>
      <c r="E16" s="555">
        <f>+E14+E13</f>
        <v>186200000</v>
      </c>
    </row>
    <row r="17" spans="2:7" ht="25.35" customHeight="1">
      <c r="B17" s="22"/>
      <c r="C17" s="22"/>
      <c r="D17" s="22"/>
      <c r="E17" s="157"/>
    </row>
    <row r="18" spans="2:7" ht="25.35" customHeight="1">
      <c r="B18" s="11" t="s">
        <v>172</v>
      </c>
      <c r="C18" s="22"/>
      <c r="D18" s="22"/>
      <c r="E18" s="167">
        <f>+'EXHIBIT D'!G143-SUM(+'EXHIBIT D'!G133+'EXHIBIT D'!G134)</f>
        <v>166822544</v>
      </c>
      <c r="G18" s="132"/>
    </row>
    <row r="19" spans="2:7" ht="25.35" customHeight="1">
      <c r="B19" s="11" t="s">
        <v>173</v>
      </c>
      <c r="D19" s="22"/>
      <c r="E19" s="555">
        <f>+'EXHIBIT D'!G133+'EXHIBIT D'!G134</f>
        <v>11909887</v>
      </c>
    </row>
    <row r="20" spans="2:7" ht="25.35" customHeight="1">
      <c r="B20" s="22"/>
      <c r="D20" s="22"/>
      <c r="E20" s="162"/>
    </row>
    <row r="21" spans="2:7" ht="25.35" customHeight="1">
      <c r="B21" s="11" t="s">
        <v>174</v>
      </c>
      <c r="C21" s="22"/>
      <c r="D21" s="22"/>
      <c r="E21" s="556">
        <f>+E19+E18</f>
        <v>178732431</v>
      </c>
    </row>
    <row r="22" spans="2:7" ht="25.35" customHeight="1">
      <c r="B22" s="22"/>
      <c r="C22" s="22"/>
      <c r="D22" s="22"/>
      <c r="E22" s="162"/>
    </row>
    <row r="23" spans="2:7" ht="25.35" customHeight="1">
      <c r="B23" s="22" t="s">
        <v>175</v>
      </c>
      <c r="C23" s="22"/>
      <c r="D23" s="22"/>
      <c r="E23" s="556">
        <f>+E21+E16</f>
        <v>364932431</v>
      </c>
    </row>
    <row r="24" spans="2:7" ht="25.35" customHeight="1">
      <c r="B24" s="22"/>
      <c r="C24" s="22"/>
      <c r="D24" s="22"/>
      <c r="E24" s="162"/>
    </row>
    <row r="25" spans="2:7" ht="25.35" customHeight="1">
      <c r="B25" s="11" t="s">
        <v>176</v>
      </c>
      <c r="C25" s="22"/>
      <c r="D25" s="22"/>
      <c r="E25" s="168">
        <f>'EXHIBIT D'!G248-SUM(+'EXHIBIT D'!G222+'EXHIBIT D'!G223)</f>
        <v>178133557.00999999</v>
      </c>
    </row>
    <row r="26" spans="2:7" ht="25.35" customHeight="1">
      <c r="B26" s="11" t="s">
        <v>177</v>
      </c>
      <c r="D26" s="22"/>
      <c r="E26" s="555">
        <f>'EXHIBIT D'!G222+'EXHIBIT D'!G223</f>
        <v>598873.91</v>
      </c>
    </row>
    <row r="27" spans="2:7" ht="25.35" customHeight="1">
      <c r="B27" s="22"/>
      <c r="D27" s="22"/>
      <c r="E27" s="162"/>
    </row>
    <row r="28" spans="2:7" ht="25.35" customHeight="1">
      <c r="B28" s="22" t="s">
        <v>178</v>
      </c>
      <c r="C28" s="22"/>
      <c r="D28" s="22"/>
      <c r="E28" s="557">
        <f>+E26+E25</f>
        <v>178732430.91999999</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f>+E23-E28</f>
        <v>186200000.08000001</v>
      </c>
      <c r="E32" s="158"/>
    </row>
    <row r="33" spans="2:10" ht="25.35" customHeight="1">
      <c r="B33" s="11" t="s">
        <v>180</v>
      </c>
      <c r="C33" s="22"/>
      <c r="D33" s="558">
        <f>+'EXHIBIT D'!G186</f>
        <v>750000</v>
      </c>
      <c r="E33" s="158"/>
    </row>
    <row r="34" spans="2:10" ht="25.35" customHeight="1">
      <c r="B34" s="22"/>
      <c r="D34" s="22"/>
      <c r="E34" s="158"/>
      <c r="J34" s="160"/>
    </row>
    <row r="35" spans="2:10" ht="25.35" customHeight="1">
      <c r="B35" s="11" t="s">
        <v>738</v>
      </c>
      <c r="C35" s="22"/>
      <c r="D35" s="22"/>
      <c r="E35" s="161">
        <f>+D32+D33</f>
        <v>186950000.08000001</v>
      </c>
    </row>
    <row r="36" spans="2:10" ht="25.35" customHeight="1">
      <c r="B36" s="11" t="s">
        <v>739</v>
      </c>
      <c r="C36" s="22"/>
      <c r="D36" s="22"/>
      <c r="E36" s="556">
        <f>-'EXHIBIT D'!G264</f>
        <v>130150000</v>
      </c>
      <c r="J36" s="42"/>
    </row>
    <row r="37" spans="2:10" ht="25.35" customHeight="1">
      <c r="D37" s="22"/>
      <c r="E37" s="161"/>
    </row>
    <row r="38" spans="2:10" ht="25.35" customHeight="1">
      <c r="B38" s="22" t="s">
        <v>740</v>
      </c>
      <c r="D38" s="22"/>
      <c r="E38" s="555">
        <f>+E35-E36</f>
        <v>56800000.080000013</v>
      </c>
    </row>
    <row r="39" spans="2:10" ht="25.35" customHeight="1">
      <c r="B39" s="22"/>
      <c r="C39" s="22"/>
      <c r="D39" s="22"/>
      <c r="E39" s="162"/>
    </row>
    <row r="40" spans="2:10" ht="25.35" customHeight="1">
      <c r="B40" s="11" t="s">
        <v>741</v>
      </c>
      <c r="C40" s="22"/>
      <c r="D40" s="22"/>
      <c r="E40" s="557">
        <f>'EXHIBIT D'!G253+'EXHIBIT D'!G254+'EXHIBIT D'!G255+'EXHIBIT D'!G256+'EXHIBIT D'!G257+'EXHIBIT D'!G258+'EXHIBIT D'!G259+'EXHIBIT D'!G260</f>
        <v>58967500</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9">
        <f>+E40/E23</f>
        <v>0.16158470717007883</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Vo1EJgIFR6+Ro9uxrkRdA4eNr/Jg+fJA5akSaT79Oo26z3DyhF2TqOjf7FiktEcW7n3OakmfQXCuk2d7+fISYQ==" saltValue="qEF+d6HgASstvp25FK43Kw=="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zoomScale="50" zoomScaleNormal="50" zoomScalePageLayoutView="50" workbookViewId="0">
      <selection activeCell="L39" sqref="L39"/>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743</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St. Petersburg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9.18</v>
      </c>
      <c r="E14" s="928">
        <v>12.55</v>
      </c>
      <c r="F14" s="928">
        <v>4.59</v>
      </c>
      <c r="G14" s="649">
        <f>SUM(B14:F14)</f>
        <v>122.7</v>
      </c>
      <c r="H14" s="355">
        <f>G14*30</f>
        <v>3681</v>
      </c>
    </row>
    <row r="15" spans="1:18" s="11" customFormat="1" ht="20.100000000000001" customHeight="1">
      <c r="A15" s="22" t="s">
        <v>198</v>
      </c>
      <c r="B15" s="929">
        <v>80.94</v>
      </c>
      <c r="C15" s="929">
        <v>4.04</v>
      </c>
      <c r="D15" s="929">
        <v>7.63</v>
      </c>
      <c r="E15" s="929">
        <v>15.1</v>
      </c>
      <c r="F15" s="929">
        <v>4.04</v>
      </c>
      <c r="G15" s="649">
        <f>SUM(B15:F15)</f>
        <v>111.75</v>
      </c>
      <c r="H15" s="328">
        <f>G15*30</f>
        <v>3352.5</v>
      </c>
    </row>
    <row r="16" spans="1:18" s="11" customFormat="1" ht="20.100000000000001" customHeight="1" thickBot="1">
      <c r="A16" s="22" t="s">
        <v>74</v>
      </c>
      <c r="B16" s="930">
        <v>68.599999999999994</v>
      </c>
      <c r="C16" s="930">
        <v>0</v>
      </c>
      <c r="D16" s="931"/>
      <c r="E16" s="930">
        <v>3.43</v>
      </c>
      <c r="F16" s="930">
        <v>3.43</v>
      </c>
      <c r="G16" s="329">
        <f>SUM(B16:F16)</f>
        <v>75.460000000000008</v>
      </c>
      <c r="H16" s="650">
        <f>G16*30</f>
        <v>2263.8000000000002</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275.52999999999997</v>
      </c>
      <c r="D29" s="928">
        <v>18.37</v>
      </c>
      <c r="E29" s="515">
        <f>D14</f>
        <v>9.18</v>
      </c>
      <c r="F29" s="928">
        <v>12.55</v>
      </c>
      <c r="G29" s="928">
        <v>18.37</v>
      </c>
      <c r="H29" s="336">
        <f>SUM(B29:G29)</f>
        <v>425.79</v>
      </c>
      <c r="I29" s="349">
        <f>H29*30</f>
        <v>12773.7</v>
      </c>
    </row>
    <row r="30" spans="1:11" s="11" customFormat="1" ht="20.100000000000001" customHeight="1">
      <c r="A30" s="22" t="str">
        <f t="shared" si="0"/>
        <v>LOWER LEVEL - CREDIT (A &amp; P, PSV, DEVELOPMENTAL EDUCATION AND EPI)</v>
      </c>
      <c r="B30" s="653">
        <f t="shared" si="0"/>
        <v>80.94</v>
      </c>
      <c r="C30" s="932">
        <v>242.97</v>
      </c>
      <c r="D30" s="932">
        <v>16.2</v>
      </c>
      <c r="E30" s="654">
        <f>D15</f>
        <v>7.63</v>
      </c>
      <c r="F30" s="932">
        <v>22.96</v>
      </c>
      <c r="G30" s="932">
        <v>16.2</v>
      </c>
      <c r="H30" s="649">
        <f>SUM(B30:G30)</f>
        <v>386.89999999999992</v>
      </c>
      <c r="I30" s="328">
        <f>H30*30</f>
        <v>11606.999999999998</v>
      </c>
    </row>
    <row r="31" spans="1:11" s="11" customFormat="1" ht="20.100000000000001" customHeight="1">
      <c r="A31" s="22" t="str">
        <f t="shared" si="0"/>
        <v>CAREER CERTIFICATE AND APPLIED TECHNOLOGY DIPLOMA</v>
      </c>
      <c r="B31" s="1106">
        <f t="shared" si="0"/>
        <v>68.599999999999994</v>
      </c>
      <c r="C31" s="929">
        <v>205.82</v>
      </c>
      <c r="D31" s="929">
        <v>0</v>
      </c>
      <c r="E31" s="1107"/>
      <c r="F31" s="929">
        <v>13.72</v>
      </c>
      <c r="G31" s="929">
        <v>13.72</v>
      </c>
      <c r="H31" s="1108">
        <f>SUM(B31:G31)</f>
        <v>301.86</v>
      </c>
      <c r="I31" s="1108">
        <f>H31*30</f>
        <v>9055.8000000000011</v>
      </c>
    </row>
    <row r="32" spans="1:11" s="11" customFormat="1" ht="20.100000000000001" customHeight="1" thickBot="1">
      <c r="A32" s="22" t="s">
        <v>707</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706</v>
      </c>
      <c r="B41" s="882"/>
      <c r="C41" s="882"/>
      <c r="D41" s="882"/>
      <c r="E41" s="882"/>
      <c r="F41" s="882"/>
      <c r="G41" s="882"/>
      <c r="H41" s="882"/>
      <c r="I41" s="882"/>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zoomScale="70" zoomScaleNormal="70" zoomScaleSheetLayoutView="50" zoomScalePageLayoutView="50" workbookViewId="0">
      <selection activeCell="H70" sqref="H70"/>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745</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St. Petersburg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74853.4589824</v>
      </c>
      <c r="E10" s="518">
        <v>0</v>
      </c>
      <c r="F10" s="519">
        <f t="shared" ref="F10:F15" si="0">+D10-E10</f>
        <v>74853.4589824</v>
      </c>
      <c r="G10" s="519">
        <f>'EXHIBIT B'!B14</f>
        <v>91.79</v>
      </c>
      <c r="H10" s="1156">
        <f>ROUND(+F10*G10,0)</f>
        <v>6870799</v>
      </c>
    </row>
    <row r="11" spans="1:9" ht="20.100000000000001" customHeight="1">
      <c r="A11" s="660" t="s">
        <v>191</v>
      </c>
      <c r="B11" s="660" t="s">
        <v>123</v>
      </c>
      <c r="C11" s="661" t="s">
        <v>218</v>
      </c>
      <c r="D11" s="659">
        <v>237855.312577</v>
      </c>
      <c r="E11" s="659">
        <v>0</v>
      </c>
      <c r="F11" s="662">
        <f t="shared" si="0"/>
        <v>237855.312577</v>
      </c>
      <c r="G11" s="662">
        <f>+'EXHIBIT B'!B15</f>
        <v>80.94</v>
      </c>
      <c r="H11" s="663">
        <f t="shared" ref="H11:H15" si="1">ROUND(+F11*G11,0)</f>
        <v>19252009</v>
      </c>
    </row>
    <row r="12" spans="1:9" ht="20.100000000000001" customHeight="1">
      <c r="A12" s="660" t="s">
        <v>191</v>
      </c>
      <c r="B12" s="660" t="s">
        <v>124</v>
      </c>
      <c r="C12" s="661" t="s">
        <v>219</v>
      </c>
      <c r="D12" s="659">
        <v>112195.465777</v>
      </c>
      <c r="E12" s="659">
        <v>0</v>
      </c>
      <c r="F12" s="662">
        <f t="shared" si="0"/>
        <v>112195.465777</v>
      </c>
      <c r="G12" s="662">
        <f>+'EXHIBIT B'!B15</f>
        <v>80.94</v>
      </c>
      <c r="H12" s="663">
        <f t="shared" si="1"/>
        <v>9081101</v>
      </c>
    </row>
    <row r="13" spans="1:9" ht="20.100000000000001" customHeight="1">
      <c r="A13" s="660" t="s">
        <v>191</v>
      </c>
      <c r="B13" s="660" t="s">
        <v>74</v>
      </c>
      <c r="C13" s="661" t="s">
        <v>220</v>
      </c>
      <c r="D13" s="664">
        <v>5699.7084548100001</v>
      </c>
      <c r="E13" s="664">
        <v>0</v>
      </c>
      <c r="F13" s="662">
        <f t="shared" si="0"/>
        <v>5699.7084548100001</v>
      </c>
      <c r="G13" s="662">
        <f>+'EXHIBIT B'!B16</f>
        <v>68.599999999999994</v>
      </c>
      <c r="H13" s="663">
        <f t="shared" si="1"/>
        <v>391000</v>
      </c>
    </row>
    <row r="14" spans="1:9" ht="20.100000000000001" customHeight="1">
      <c r="A14" s="660" t="s">
        <v>191</v>
      </c>
      <c r="B14" s="660" t="s">
        <v>125</v>
      </c>
      <c r="C14" s="661" t="s">
        <v>221</v>
      </c>
      <c r="D14" s="659">
        <v>13788.0528786</v>
      </c>
      <c r="E14" s="659">
        <v>0</v>
      </c>
      <c r="F14" s="662">
        <f t="shared" si="0"/>
        <v>13788.0528786</v>
      </c>
      <c r="G14" s="662">
        <f>+'EXHIBIT B'!B15</f>
        <v>80.94</v>
      </c>
      <c r="H14" s="663">
        <f t="shared" si="1"/>
        <v>1116005</v>
      </c>
    </row>
    <row r="15" spans="1:9" ht="20.100000000000001" customHeight="1" thickBot="1">
      <c r="A15" s="665" t="s">
        <v>191</v>
      </c>
      <c r="B15" s="665" t="s">
        <v>126</v>
      </c>
      <c r="C15" s="666">
        <v>40160</v>
      </c>
      <c r="D15" s="667">
        <v>0</v>
      </c>
      <c r="E15" s="667">
        <v>0</v>
      </c>
      <c r="F15" s="668">
        <f t="shared" si="0"/>
        <v>0</v>
      </c>
      <c r="G15" s="668">
        <f>+'EXHIBIT B'!B15</f>
        <v>80.94</v>
      </c>
      <c r="H15" s="669">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444391.99866981007</v>
      </c>
      <c r="E17" s="292">
        <f>SUM(E10:E15)</f>
        <v>0</v>
      </c>
      <c r="F17" s="293">
        <f>SUM(F10:F15)</f>
        <v>444391.99866981007</v>
      </c>
      <c r="G17" s="293"/>
      <c r="H17" s="294">
        <f>SUM(H10:H15)</f>
        <v>36710914</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1562.0985010700001</v>
      </c>
      <c r="E19" s="671">
        <f>'EXHIBIT B'!C29</f>
        <v>275.52999999999997</v>
      </c>
      <c r="F19" s="1155">
        <f t="shared" ref="F19:F25" si="2">ROUND(+D19*E19,0)</f>
        <v>430405</v>
      </c>
      <c r="G19" s="296"/>
      <c r="H19" s="296"/>
    </row>
    <row r="20" spans="1:9" ht="20.100000000000001" customHeight="1">
      <c r="A20" s="611" t="s">
        <v>206</v>
      </c>
      <c r="B20" s="611" t="s">
        <v>123</v>
      </c>
      <c r="C20" s="672" t="s">
        <v>225</v>
      </c>
      <c r="D20" s="679">
        <v>10251.3190928</v>
      </c>
      <c r="E20" s="673">
        <f>+'EXHIBIT B'!C30</f>
        <v>242.97</v>
      </c>
      <c r="F20" s="674">
        <f t="shared" si="2"/>
        <v>2490763</v>
      </c>
      <c r="G20" s="42"/>
      <c r="H20" s="42"/>
    </row>
    <row r="21" spans="1:9" ht="20.100000000000001" customHeight="1">
      <c r="A21" s="611" t="s">
        <v>206</v>
      </c>
      <c r="B21" s="611" t="s">
        <v>124</v>
      </c>
      <c r="C21" s="672" t="s">
        <v>226</v>
      </c>
      <c r="D21" s="679">
        <v>4198.0162159900001</v>
      </c>
      <c r="E21" s="673">
        <f>+'EXHIBIT B'!C30</f>
        <v>242.97</v>
      </c>
      <c r="F21" s="674">
        <f t="shared" si="2"/>
        <v>1019992</v>
      </c>
      <c r="G21" s="42"/>
      <c r="H21" s="42"/>
    </row>
    <row r="22" spans="1:9" ht="20.100000000000001" customHeight="1">
      <c r="A22" s="611" t="s">
        <v>206</v>
      </c>
      <c r="B22" s="611" t="s">
        <v>74</v>
      </c>
      <c r="C22" s="672" t="s">
        <v>227</v>
      </c>
      <c r="D22" s="679">
        <v>242.93071615900001</v>
      </c>
      <c r="E22" s="673">
        <f>+'EXHIBIT B'!C31</f>
        <v>205.82</v>
      </c>
      <c r="F22" s="674">
        <f t="shared" si="2"/>
        <v>50000</v>
      </c>
      <c r="G22" s="42"/>
      <c r="H22" s="42"/>
    </row>
    <row r="23" spans="1:9" ht="20.100000000000001" customHeight="1">
      <c r="A23" s="611" t="s">
        <v>206</v>
      </c>
      <c r="B23" s="611" t="s">
        <v>125</v>
      </c>
      <c r="C23" s="672" t="s">
        <v>228</v>
      </c>
      <c r="D23" s="679">
        <v>1176.68024859</v>
      </c>
      <c r="E23" s="673">
        <f>+'EXHIBIT B'!C30</f>
        <v>242.97</v>
      </c>
      <c r="F23" s="674">
        <f t="shared" si="2"/>
        <v>285898</v>
      </c>
      <c r="G23" s="42"/>
      <c r="H23" s="42"/>
    </row>
    <row r="24" spans="1:9" ht="20.100000000000001" customHeight="1">
      <c r="A24" s="1017" t="s">
        <v>206</v>
      </c>
      <c r="B24" s="1017" t="s">
        <v>723</v>
      </c>
      <c r="C24" s="1111">
        <v>40360</v>
      </c>
      <c r="D24" s="1112">
        <v>0</v>
      </c>
      <c r="E24" s="1113">
        <f>+'EXHIBIT B'!C30</f>
        <v>242.97</v>
      </c>
      <c r="F24" s="1114">
        <f t="shared" si="2"/>
        <v>0</v>
      </c>
      <c r="G24" s="42"/>
      <c r="H24" s="42"/>
    </row>
    <row r="25" spans="1:9" ht="20.100000000000001" customHeight="1" thickBot="1">
      <c r="A25" s="373" t="s">
        <v>206</v>
      </c>
      <c r="B25" s="373" t="s">
        <v>704</v>
      </c>
      <c r="C25" s="1109" t="s">
        <v>705</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17431.044774609003</v>
      </c>
      <c r="E27" s="677"/>
      <c r="F27" s="678">
        <f>SUM(F19:F25)</f>
        <v>4277058</v>
      </c>
      <c r="G27" s="300"/>
      <c r="H27" s="300"/>
    </row>
    <row r="28" spans="1:9" ht="20.100000000000001" customHeight="1" thickBot="1">
      <c r="A28" s="301" t="s">
        <v>229</v>
      </c>
      <c r="B28" s="301"/>
      <c r="C28" s="301"/>
      <c r="D28" s="301"/>
      <c r="E28" s="301"/>
      <c r="F28" s="302"/>
      <c r="G28" s="520"/>
      <c r="H28" s="303">
        <f>H17+F27</f>
        <v>40987972</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40987972</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697</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0</v>
      </c>
      <c r="C55" s="1092"/>
      <c r="D55" s="1093"/>
      <c r="E55" s="934"/>
      <c r="F55" s="935"/>
    </row>
    <row r="56" spans="1:10" ht="24.95" customHeight="1">
      <c r="A56" s="685"/>
      <c r="B56" s="679">
        <v>0</v>
      </c>
      <c r="C56" s="936"/>
      <c r="D56" s="937"/>
      <c r="E56" s="936"/>
      <c r="F56" s="937"/>
      <c r="J56" s="86"/>
    </row>
    <row r="57" spans="1:10" ht="24.95" customHeight="1">
      <c r="A57" s="685" t="s">
        <v>796</v>
      </c>
      <c r="B57" s="679">
        <v>598873.91</v>
      </c>
      <c r="C57" s="936" t="s">
        <v>794</v>
      </c>
      <c r="D57" s="937"/>
      <c r="E57" s="936" t="s">
        <v>794</v>
      </c>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598873.91</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672</v>
      </c>
      <c r="B64" s="1154">
        <v>0</v>
      </c>
      <c r="C64" s="934"/>
      <c r="D64" s="935"/>
      <c r="E64" s="934"/>
      <c r="F64" s="935"/>
    </row>
    <row r="65" spans="1:6" ht="24.95" customHeight="1">
      <c r="A65" s="685"/>
      <c r="B65" s="679">
        <v>0</v>
      </c>
      <c r="C65" s="936"/>
      <c r="D65" s="937"/>
      <c r="E65" s="936"/>
      <c r="F65" s="937"/>
    </row>
    <row r="66" spans="1:6" ht="24.95" customHeight="1">
      <c r="A66" s="685" t="s">
        <v>792</v>
      </c>
      <c r="B66" s="679">
        <v>2500000</v>
      </c>
      <c r="C66" s="936" t="s">
        <v>793</v>
      </c>
      <c r="D66" s="937"/>
      <c r="E66" s="936" t="s">
        <v>794</v>
      </c>
      <c r="F66" s="937"/>
    </row>
    <row r="67" spans="1:6" ht="24.95" customHeight="1">
      <c r="A67" s="685" t="s">
        <v>795</v>
      </c>
      <c r="B67" s="679">
        <v>9409887</v>
      </c>
      <c r="C67" s="936" t="s">
        <v>794</v>
      </c>
      <c r="D67" s="937"/>
      <c r="E67" s="936" t="s">
        <v>794</v>
      </c>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11909887</v>
      </c>
      <c r="C70" s="944"/>
      <c r="D70" s="945"/>
      <c r="E70" s="944"/>
      <c r="F70" s="945"/>
    </row>
    <row r="71" spans="1:6" ht="24.95" customHeight="1" thickBot="1">
      <c r="A71" s="280" t="s">
        <v>254</v>
      </c>
      <c r="B71" s="281">
        <f>+B70+B61</f>
        <v>12508760.91</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100" zoomScale="70" zoomScaleNormal="70" zoomScaleSheetLayoutView="70" zoomScalePageLayoutView="70" workbookViewId="0">
      <selection activeCell="A194" sqref="A194"/>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St. Petersburg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746</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6870799</v>
      </c>
    </row>
    <row r="13" spans="1:8" ht="20.100000000000001" customHeight="1">
      <c r="A13" s="478" t="s">
        <v>191</v>
      </c>
      <c r="B13" s="176"/>
      <c r="C13" s="169" t="s">
        <v>123</v>
      </c>
      <c r="D13" s="176"/>
      <c r="E13" s="176"/>
      <c r="F13" s="180" t="s">
        <v>218</v>
      </c>
      <c r="G13" s="1146">
        <f>+'EXHIBIT C'!H11+'EXHIBIT C(2)'!E14</f>
        <v>19252009</v>
      </c>
    </row>
    <row r="14" spans="1:8" ht="20.100000000000001" customHeight="1">
      <c r="A14" s="478" t="s">
        <v>191</v>
      </c>
      <c r="B14" s="176"/>
      <c r="C14" s="176" t="s">
        <v>124</v>
      </c>
      <c r="D14" s="176"/>
      <c r="E14" s="176"/>
      <c r="F14" s="180" t="s">
        <v>219</v>
      </c>
      <c r="G14" s="1147">
        <f>+'EXHIBIT C'!H12+'EXHIBIT C(2)'!E15</f>
        <v>9081101</v>
      </c>
    </row>
    <row r="15" spans="1:8" ht="20.100000000000001" customHeight="1">
      <c r="A15" s="478" t="s">
        <v>191</v>
      </c>
      <c r="B15" s="176"/>
      <c r="C15" s="181" t="s">
        <v>271</v>
      </c>
      <c r="D15" s="176"/>
      <c r="E15" s="176"/>
      <c r="F15" s="180" t="s">
        <v>220</v>
      </c>
      <c r="G15" s="1147">
        <f>+'EXHIBIT C'!H13+'EXHIBIT C(2)'!E16</f>
        <v>391000</v>
      </c>
    </row>
    <row r="16" spans="1:8" ht="20.100000000000001" customHeight="1">
      <c r="A16" s="478" t="s">
        <v>191</v>
      </c>
      <c r="B16" s="176"/>
      <c r="C16" s="181" t="s">
        <v>272</v>
      </c>
      <c r="D16" s="176"/>
      <c r="E16" s="176"/>
      <c r="F16" s="180" t="s">
        <v>221</v>
      </c>
      <c r="G16" s="182">
        <f>+'EXHIBIT C'!H14+'EXHIBIT C(2)'!E17</f>
        <v>1116005</v>
      </c>
    </row>
    <row r="17" spans="1:7" ht="20.100000000000001" customHeight="1">
      <c r="A17" s="478" t="s">
        <v>191</v>
      </c>
      <c r="B17" s="176"/>
      <c r="C17" s="169" t="s">
        <v>126</v>
      </c>
      <c r="D17" s="176"/>
      <c r="E17" s="176"/>
      <c r="F17" s="179">
        <v>40160</v>
      </c>
      <c r="G17" s="182">
        <f>+'EXHIBIT C'!H15+'EXHIBIT C(2)'!E18</f>
        <v>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36710914</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430405</v>
      </c>
    </row>
    <row r="22" spans="1:7" ht="20.100000000000001" customHeight="1">
      <c r="A22" s="478" t="s">
        <v>206</v>
      </c>
      <c r="B22" s="176"/>
      <c r="C22" s="169" t="s">
        <v>123</v>
      </c>
      <c r="D22" s="176"/>
      <c r="E22" s="176"/>
      <c r="F22" s="180" t="s">
        <v>225</v>
      </c>
      <c r="G22" s="1148">
        <f>+'EXHIBIT C'!F20+'EXHIBIT C(2)'!E23</f>
        <v>2490763</v>
      </c>
    </row>
    <row r="23" spans="1:7" ht="20.100000000000001" customHeight="1">
      <c r="A23" s="478" t="s">
        <v>206</v>
      </c>
      <c r="B23" s="176"/>
      <c r="C23" s="176" t="s">
        <v>124</v>
      </c>
      <c r="D23" s="176"/>
      <c r="E23" s="176"/>
      <c r="F23" s="180" t="s">
        <v>226</v>
      </c>
      <c r="G23" s="1149">
        <f>+'EXHIBIT C'!F21+'EXHIBIT C(2)'!E24</f>
        <v>1019992</v>
      </c>
    </row>
    <row r="24" spans="1:7" ht="20.100000000000001" customHeight="1">
      <c r="A24" s="478" t="s">
        <v>206</v>
      </c>
      <c r="B24" s="176"/>
      <c r="C24" s="181" t="s">
        <v>271</v>
      </c>
      <c r="D24" s="176"/>
      <c r="E24" s="176"/>
      <c r="F24" s="180" t="s">
        <v>227</v>
      </c>
      <c r="G24" s="1149">
        <f>+'EXHIBIT C'!F22+'EXHIBIT C(2)'!E25</f>
        <v>50000</v>
      </c>
    </row>
    <row r="25" spans="1:7" ht="20.100000000000001" customHeight="1">
      <c r="A25" s="478" t="s">
        <v>206</v>
      </c>
      <c r="B25" s="176"/>
      <c r="C25" s="181" t="s">
        <v>272</v>
      </c>
      <c r="D25" s="176"/>
      <c r="E25" s="176"/>
      <c r="F25" s="180" t="s">
        <v>228</v>
      </c>
      <c r="G25" s="1149">
        <f>+'EXHIBIT C'!F23+'EXHIBIT C(2)'!E26</f>
        <v>285898</v>
      </c>
    </row>
    <row r="26" spans="1:7" ht="20.100000000000001" customHeight="1">
      <c r="A26" s="478" t="s">
        <v>206</v>
      </c>
      <c r="B26" s="176"/>
      <c r="C26" s="169" t="s">
        <v>723</v>
      </c>
      <c r="D26" s="176"/>
      <c r="E26" s="176"/>
      <c r="F26" s="179">
        <v>40360</v>
      </c>
      <c r="G26" s="1149">
        <f>+'EXHIBIT C'!F24+'EXHIBIT C(2)'!E27</f>
        <v>0</v>
      </c>
    </row>
    <row r="27" spans="1:7" ht="20.100000000000001" customHeight="1">
      <c r="A27" s="478" t="s">
        <v>206</v>
      </c>
      <c r="B27" s="176"/>
      <c r="C27" s="169" t="s">
        <v>704</v>
      </c>
      <c r="D27" s="176"/>
      <c r="E27" s="176"/>
      <c r="F27" s="179" t="s">
        <v>705</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4277058</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40987972</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297000</v>
      </c>
    </row>
    <row r="48" spans="1:7" ht="20.100000000000001" customHeight="1">
      <c r="A48" s="478" t="s">
        <v>284</v>
      </c>
      <c r="B48" s="187"/>
      <c r="C48" s="187"/>
      <c r="D48" s="187"/>
      <c r="E48" s="187"/>
      <c r="F48" s="188" t="s">
        <v>285</v>
      </c>
      <c r="G48" s="1150">
        <f>3091442+250000</f>
        <v>3341442</v>
      </c>
    </row>
    <row r="49" spans="1:7" ht="20.100000000000001" customHeight="1">
      <c r="A49" s="478" t="s">
        <v>286</v>
      </c>
      <c r="C49" s="187"/>
      <c r="D49" s="187"/>
      <c r="E49" s="187"/>
      <c r="F49" s="188" t="s">
        <v>287</v>
      </c>
      <c r="G49" s="1150">
        <v>0</v>
      </c>
    </row>
    <row r="50" spans="1:7" ht="20.100000000000001" customHeight="1">
      <c r="A50" s="478" t="s">
        <v>288</v>
      </c>
      <c r="B50" s="176"/>
      <c r="C50" s="176"/>
      <c r="D50" s="176"/>
      <c r="E50" s="176"/>
      <c r="F50" s="180" t="s">
        <v>289</v>
      </c>
      <c r="G50" s="1150">
        <v>150000</v>
      </c>
    </row>
    <row r="51" spans="1:7" ht="20.100000000000001" customHeight="1">
      <c r="A51" s="478" t="s">
        <v>713</v>
      </c>
      <c r="B51" s="176"/>
      <c r="C51" s="176"/>
      <c r="D51" s="176"/>
      <c r="E51" s="176"/>
      <c r="F51" s="195">
        <v>40280</v>
      </c>
      <c r="G51" s="1150">
        <f>2100000+500000</f>
        <v>2600000</v>
      </c>
    </row>
    <row r="52" spans="1:7" ht="20.100000000000001" customHeight="1">
      <c r="A52" s="478" t="s">
        <v>290</v>
      </c>
      <c r="B52" s="176"/>
      <c r="C52" s="176"/>
      <c r="D52" s="176"/>
      <c r="E52" s="176"/>
      <c r="F52" s="180" t="s">
        <v>291</v>
      </c>
      <c r="G52" s="1150">
        <v>3321443</v>
      </c>
    </row>
    <row r="53" spans="1:7" ht="20.100000000000001" customHeight="1">
      <c r="A53" s="478" t="s">
        <v>292</v>
      </c>
      <c r="B53" s="176"/>
      <c r="C53" s="176"/>
      <c r="D53" s="176"/>
      <c r="E53" s="176"/>
      <c r="F53" s="179">
        <v>40450</v>
      </c>
      <c r="G53" s="1150">
        <v>4834243</v>
      </c>
    </row>
    <row r="54" spans="1:7" ht="20.100000000000001" customHeight="1">
      <c r="A54" s="478" t="s">
        <v>293</v>
      </c>
      <c r="B54" s="176"/>
      <c r="C54" s="176"/>
      <c r="D54" s="176"/>
      <c r="E54" s="176"/>
      <c r="F54" s="180" t="s">
        <v>294</v>
      </c>
      <c r="G54" s="1150">
        <v>571000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97000</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2096067</v>
      </c>
    </row>
    <row r="61" spans="1:7" ht="20.100000000000001" customHeight="1">
      <c r="A61" s="478" t="s">
        <v>307</v>
      </c>
      <c r="B61" s="176"/>
      <c r="C61" s="176"/>
      <c r="D61" s="176"/>
      <c r="E61" s="176"/>
      <c r="F61" s="180" t="s">
        <v>308</v>
      </c>
      <c r="G61" s="1150">
        <v>78000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58374167</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2400000</v>
      </c>
    </row>
    <row r="70" spans="1:7" ht="20.100000000000001" customHeight="1">
      <c r="A70" s="478" t="s">
        <v>317</v>
      </c>
      <c r="B70" s="176"/>
      <c r="C70" s="176"/>
      <c r="D70" s="176"/>
      <c r="E70" s="176"/>
      <c r="F70" s="180" t="s">
        <v>318</v>
      </c>
      <c r="G70" s="1150">
        <v>0</v>
      </c>
    </row>
    <row r="71" spans="1:7" ht="20.100000000000001" customHeight="1">
      <c r="A71" s="478" t="s">
        <v>319</v>
      </c>
      <c r="B71" s="176"/>
      <c r="C71" s="176"/>
      <c r="D71" s="176"/>
      <c r="E71" s="176"/>
      <c r="F71" s="180" t="s">
        <v>320</v>
      </c>
      <c r="G71" s="1150">
        <v>2000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2402000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81244931</v>
      </c>
    </row>
    <row r="78" spans="1:7" ht="20.100000000000001" customHeight="1">
      <c r="A78" s="478" t="s">
        <v>681</v>
      </c>
      <c r="B78" s="176"/>
      <c r="C78" s="176"/>
      <c r="D78" s="176"/>
      <c r="E78" s="176"/>
      <c r="F78" s="179">
        <v>42130</v>
      </c>
      <c r="G78" s="1152">
        <v>1845523</v>
      </c>
    </row>
    <row r="79" spans="1:7" ht="20.100000000000001" customHeight="1">
      <c r="A79" s="480" t="s">
        <v>325</v>
      </c>
      <c r="B79" s="481"/>
      <c r="C79" s="481"/>
      <c r="D79" s="481"/>
      <c r="E79" s="481"/>
      <c r="F79" s="191" t="s">
        <v>326</v>
      </c>
      <c r="G79" s="1150">
        <v>1479966</v>
      </c>
    </row>
    <row r="80" spans="1:7" ht="20.100000000000001" customHeight="1">
      <c r="A80" s="478" t="s">
        <v>327</v>
      </c>
      <c r="B80" s="176"/>
      <c r="C80" s="176"/>
      <c r="D80" s="176"/>
      <c r="E80" s="176"/>
      <c r="F80" s="180" t="s">
        <v>328</v>
      </c>
      <c r="G80" s="1152"/>
    </row>
    <row r="81" spans="1:10" ht="20.100000000000001" customHeight="1">
      <c r="A81" s="478" t="s">
        <v>696</v>
      </c>
      <c r="B81" s="176"/>
      <c r="C81" s="176"/>
      <c r="D81" s="176"/>
      <c r="E81" s="176"/>
      <c r="F81" s="180" t="s">
        <v>329</v>
      </c>
      <c r="G81" s="1152">
        <v>700000</v>
      </c>
    </row>
    <row r="82" spans="1:10" ht="20.100000000000001" customHeight="1">
      <c r="A82" s="478" t="s">
        <v>330</v>
      </c>
      <c r="B82" s="176"/>
      <c r="C82" s="176"/>
      <c r="D82" s="176"/>
      <c r="E82" s="176"/>
      <c r="F82" s="180" t="s">
        <v>331</v>
      </c>
      <c r="G82" s="1151">
        <f>'CHECK SHEET'!D86</f>
        <v>14666330</v>
      </c>
    </row>
    <row r="83" spans="1:10" ht="20.100000000000001" customHeight="1">
      <c r="A83" s="482" t="s">
        <v>332</v>
      </c>
      <c r="B83" s="483"/>
      <c r="C83" s="483"/>
      <c r="D83" s="483"/>
      <c r="E83" s="483"/>
      <c r="F83" s="190" t="s">
        <v>333</v>
      </c>
      <c r="G83" s="1152">
        <v>-1845523</v>
      </c>
    </row>
    <row r="84" spans="1:10" ht="20.100000000000001" customHeight="1">
      <c r="A84" s="478" t="s">
        <v>334</v>
      </c>
      <c r="B84" s="176"/>
      <c r="C84" s="176"/>
      <c r="D84" s="176"/>
      <c r="E84" s="176"/>
      <c r="F84" s="180" t="s">
        <v>335</v>
      </c>
      <c r="G84" s="1152">
        <v>50000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98141227</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70000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350000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420000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715</v>
      </c>
      <c r="B101" s="176"/>
      <c r="C101" s="176"/>
      <c r="D101" s="176"/>
      <c r="E101" s="176"/>
      <c r="F101" s="180" t="s">
        <v>346</v>
      </c>
      <c r="G101" s="432">
        <v>1742756</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1742756</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716</v>
      </c>
      <c r="B111" s="176"/>
      <c r="C111" s="176"/>
      <c r="D111" s="176"/>
      <c r="E111" s="176"/>
      <c r="F111" s="180" t="s">
        <v>356</v>
      </c>
      <c r="G111" s="432">
        <v>8000</v>
      </c>
    </row>
    <row r="112" spans="1:7" ht="20.100000000000001" customHeight="1">
      <c r="A112" s="478" t="s">
        <v>357</v>
      </c>
      <c r="B112" s="176"/>
      <c r="C112" s="176"/>
      <c r="D112" s="176"/>
      <c r="E112" s="176"/>
      <c r="F112" s="180" t="s">
        <v>358</v>
      </c>
      <c r="G112" s="432">
        <v>2586794</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2594794</v>
      </c>
    </row>
    <row r="117" spans="1:7" ht="20.100000000000001" customHeight="1">
      <c r="A117" s="478"/>
      <c r="B117" s="176"/>
      <c r="C117" s="176"/>
      <c r="D117" s="176"/>
      <c r="E117" s="176"/>
      <c r="F117" s="484"/>
      <c r="G117" s="485"/>
    </row>
    <row r="118" spans="1:7" ht="20.100000000000001" customHeight="1">
      <c r="A118" s="707" t="s">
        <v>717</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3119600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2000</v>
      </c>
    </row>
    <row r="127" spans="1:7" ht="20.100000000000001" customHeight="1">
      <c r="A127" s="478" t="s">
        <v>718</v>
      </c>
      <c r="B127" s="176"/>
      <c r="C127" s="176"/>
      <c r="D127" s="176"/>
      <c r="E127" s="176"/>
      <c r="F127" s="180" t="s">
        <v>373</v>
      </c>
      <c r="G127" s="432">
        <v>26000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3147600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683</v>
      </c>
      <c r="B134" s="176"/>
      <c r="C134" s="176"/>
      <c r="D134" s="487"/>
      <c r="E134" s="187"/>
      <c r="F134" s="1124">
        <v>49200</v>
      </c>
      <c r="G134" s="432">
        <v>11909887</v>
      </c>
    </row>
    <row r="135" spans="1:7" ht="20.100000000000001" customHeight="1">
      <c r="A135" s="478" t="s">
        <v>719</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676</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11909887</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178732431</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4050838</v>
      </c>
    </row>
    <row r="148" spans="1:7" ht="20.100000000000001" customHeight="1">
      <c r="A148" s="478" t="s">
        <v>389</v>
      </c>
      <c r="F148" s="180" t="s">
        <v>390</v>
      </c>
      <c r="G148" s="434">
        <v>6628118</v>
      </c>
    </row>
    <row r="149" spans="1:7" ht="20.100000000000001" customHeight="1">
      <c r="A149" s="478" t="s">
        <v>391</v>
      </c>
      <c r="F149" s="180" t="s">
        <v>392</v>
      </c>
      <c r="G149" s="434">
        <v>1877398</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23913182</v>
      </c>
    </row>
    <row r="153" spans="1:7" ht="20.100000000000001" customHeight="1">
      <c r="A153" s="478" t="s">
        <v>399</v>
      </c>
      <c r="B153" s="176"/>
      <c r="C153" s="176"/>
      <c r="D153" s="176"/>
      <c r="E153" s="176"/>
      <c r="F153" s="180" t="s">
        <v>400</v>
      </c>
      <c r="G153" s="434">
        <v>3559203</v>
      </c>
    </row>
    <row r="154" spans="1:7" ht="20.100000000000001" customHeight="1">
      <c r="A154" s="478" t="s">
        <v>401</v>
      </c>
      <c r="B154" s="176"/>
      <c r="C154" s="176"/>
      <c r="D154" s="176"/>
      <c r="E154" s="176"/>
      <c r="F154" s="180" t="s">
        <v>402</v>
      </c>
      <c r="G154" s="434">
        <v>24337</v>
      </c>
    </row>
    <row r="155" spans="1:7" ht="20.100000000000001" customHeight="1">
      <c r="A155" s="478" t="s">
        <v>403</v>
      </c>
      <c r="B155" s="176"/>
      <c r="C155" s="176"/>
      <c r="D155" s="176"/>
      <c r="E155" s="176"/>
      <c r="F155" s="180" t="s">
        <v>404</v>
      </c>
      <c r="G155" s="434">
        <v>1635282</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23037631</v>
      </c>
    </row>
    <row r="163" spans="1:7" ht="20.100000000000001" customHeight="1">
      <c r="A163" s="478" t="s">
        <v>418</v>
      </c>
      <c r="B163" s="176"/>
      <c r="C163" s="176"/>
      <c r="D163" s="176"/>
      <c r="E163" s="176"/>
      <c r="F163" s="180" t="s">
        <v>419</v>
      </c>
      <c r="G163" s="434">
        <v>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v>18659466</v>
      </c>
    </row>
    <row r="168" spans="1:7" ht="20.100000000000001" customHeight="1">
      <c r="A168" s="478" t="s">
        <v>428</v>
      </c>
      <c r="B168" s="176"/>
      <c r="C168" s="176"/>
      <c r="D168" s="176"/>
      <c r="E168" s="176"/>
      <c r="F168" s="180" t="s">
        <v>429</v>
      </c>
      <c r="G168" s="434">
        <v>321531</v>
      </c>
    </row>
    <row r="169" spans="1:7" ht="20.100000000000001" customHeight="1">
      <c r="A169" s="478" t="s">
        <v>430</v>
      </c>
      <c r="B169" s="176"/>
      <c r="C169" s="176"/>
      <c r="D169" s="176"/>
      <c r="E169" s="176"/>
      <c r="F169" s="180" t="s">
        <v>431</v>
      </c>
      <c r="G169" s="434">
        <v>0</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10060725</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16195</v>
      </c>
    </row>
    <row r="177" spans="1:7" ht="20.100000000000001" customHeight="1">
      <c r="A177" s="486" t="s">
        <v>443</v>
      </c>
      <c r="F177" s="195" t="s">
        <v>444</v>
      </c>
      <c r="G177" s="434">
        <v>370045</v>
      </c>
    </row>
    <row r="178" spans="1:7" ht="20.100000000000001" customHeight="1">
      <c r="A178" s="478" t="s">
        <v>445</v>
      </c>
      <c r="B178" s="176"/>
      <c r="C178" s="176"/>
      <c r="D178" s="176"/>
      <c r="E178" s="176"/>
      <c r="F178" s="180" t="s">
        <v>446</v>
      </c>
      <c r="G178" s="434">
        <v>539846</v>
      </c>
    </row>
    <row r="179" spans="1:7" ht="20.100000000000001" customHeight="1">
      <c r="A179" s="478" t="s">
        <v>447</v>
      </c>
      <c r="B179" s="176"/>
      <c r="C179" s="176"/>
      <c r="D179" s="176"/>
      <c r="E179" s="176"/>
      <c r="F179" s="180" t="s">
        <v>448</v>
      </c>
      <c r="G179" s="434">
        <v>377991</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0</v>
      </c>
    </row>
    <row r="183" spans="1:7" ht="20.100000000000001" customHeight="1">
      <c r="A183" s="478" t="s">
        <v>455</v>
      </c>
      <c r="B183" s="176"/>
      <c r="C183" s="176"/>
      <c r="D183" s="176"/>
      <c r="E183" s="176"/>
      <c r="F183" s="180" t="s">
        <v>456</v>
      </c>
      <c r="G183" s="434">
        <v>28250</v>
      </c>
    </row>
    <row r="184" spans="1:7" ht="20.100000000000001" customHeight="1">
      <c r="A184" s="478" t="s">
        <v>457</v>
      </c>
      <c r="B184" s="176"/>
      <c r="C184" s="176"/>
      <c r="D184" s="176"/>
      <c r="E184" s="176"/>
      <c r="F184" s="180" t="s">
        <v>458</v>
      </c>
      <c r="G184" s="434">
        <v>5134982</v>
      </c>
    </row>
    <row r="185" spans="1:7" ht="20.100000000000001" customHeight="1">
      <c r="A185" s="478" t="s">
        <v>459</v>
      </c>
      <c r="B185" s="176"/>
      <c r="C185" s="176"/>
      <c r="D185" s="176"/>
      <c r="E185" s="176"/>
      <c r="F185" s="180" t="s">
        <v>460</v>
      </c>
      <c r="G185" s="434">
        <v>11378825</v>
      </c>
    </row>
    <row r="186" spans="1:7" ht="20.100000000000001" customHeight="1">
      <c r="A186" s="478" t="s">
        <v>461</v>
      </c>
      <c r="B186" s="176"/>
      <c r="C186" s="176"/>
      <c r="D186" s="176"/>
      <c r="E186" s="176"/>
      <c r="F186" s="180" t="s">
        <v>462</v>
      </c>
      <c r="G186" s="434">
        <v>750000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v>16397877</v>
      </c>
    </row>
    <row r="191" spans="1:7" ht="20.100000000000001" customHeight="1">
      <c r="A191" s="478" t="s">
        <v>720</v>
      </c>
      <c r="B191" s="176"/>
      <c r="C191" s="176"/>
      <c r="D191" s="176"/>
      <c r="E191" s="176"/>
      <c r="F191" s="180" t="s">
        <v>471</v>
      </c>
      <c r="G191" s="434">
        <v>208194</v>
      </c>
    </row>
    <row r="192" spans="1:7" ht="20.100000000000001" customHeight="1">
      <c r="A192" s="478" t="s">
        <v>472</v>
      </c>
      <c r="B192" s="176"/>
      <c r="C192" s="176"/>
      <c r="D192" s="176"/>
      <c r="E192" s="176"/>
      <c r="F192" s="180" t="s">
        <v>473</v>
      </c>
      <c r="G192" s="434">
        <v>1767309</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130737225</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1012484.9999999999</v>
      </c>
    </row>
    <row r="199" spans="1:7" ht="20.100000000000001" customHeight="1">
      <c r="A199" s="478" t="s">
        <v>478</v>
      </c>
      <c r="B199" s="176"/>
      <c r="C199" s="176"/>
      <c r="D199" s="176"/>
      <c r="E199" s="176"/>
      <c r="F199" s="180" t="s">
        <v>479</v>
      </c>
      <c r="G199" s="434">
        <v>214627</v>
      </c>
    </row>
    <row r="200" spans="1:7" ht="20.100000000000001" customHeight="1">
      <c r="A200" s="478" t="s">
        <v>480</v>
      </c>
      <c r="B200" s="176"/>
      <c r="C200" s="176"/>
      <c r="D200" s="176"/>
      <c r="E200" s="176"/>
      <c r="F200" s="180" t="s">
        <v>481</v>
      </c>
      <c r="G200" s="434">
        <v>850750.60000000009</v>
      </c>
    </row>
    <row r="201" spans="1:7" ht="20.100000000000001" customHeight="1">
      <c r="A201" s="478" t="s">
        <v>482</v>
      </c>
      <c r="B201" s="176"/>
      <c r="C201" s="176"/>
      <c r="D201" s="176"/>
      <c r="E201" s="176"/>
      <c r="F201" s="180" t="s">
        <v>483</v>
      </c>
      <c r="G201" s="434">
        <v>534011.98</v>
      </c>
    </row>
    <row r="202" spans="1:7" ht="20.100000000000001" customHeight="1">
      <c r="A202" s="478" t="s">
        <v>484</v>
      </c>
      <c r="B202" s="176"/>
      <c r="C202" s="176"/>
      <c r="D202" s="176"/>
      <c r="E202" s="176"/>
      <c r="F202" s="180" t="s">
        <v>485</v>
      </c>
      <c r="G202" s="434">
        <v>2390101.1</v>
      </c>
    </row>
    <row r="203" spans="1:7" ht="20.100000000000001" customHeight="1">
      <c r="A203" s="478" t="s">
        <v>721</v>
      </c>
      <c r="B203" s="176"/>
      <c r="C203" s="176"/>
      <c r="D203" s="176"/>
      <c r="E203" s="176"/>
      <c r="F203" s="180" t="s">
        <v>487</v>
      </c>
      <c r="G203" s="434">
        <v>331713.94</v>
      </c>
    </row>
    <row r="204" spans="1:7" ht="20.100000000000001" customHeight="1">
      <c r="A204" s="478" t="s">
        <v>675</v>
      </c>
      <c r="B204" s="176"/>
      <c r="C204" s="176"/>
      <c r="D204" s="176"/>
      <c r="E204" s="176"/>
      <c r="F204" s="970">
        <v>63100</v>
      </c>
      <c r="G204" s="434">
        <v>78905.16</v>
      </c>
    </row>
    <row r="205" spans="1:7" ht="20.100000000000001" customHeight="1">
      <c r="A205" s="478" t="s">
        <v>488</v>
      </c>
      <c r="B205" s="176"/>
      <c r="C205" s="176"/>
      <c r="D205" s="176"/>
      <c r="E205" s="176"/>
      <c r="F205" s="180" t="s">
        <v>489</v>
      </c>
      <c r="G205" s="434">
        <v>3434346</v>
      </c>
    </row>
    <row r="206" spans="1:7" ht="20.100000000000001" customHeight="1">
      <c r="A206" s="478" t="s">
        <v>490</v>
      </c>
      <c r="B206" s="176"/>
      <c r="C206" s="176"/>
      <c r="D206" s="176"/>
      <c r="E206" s="176"/>
      <c r="F206" s="180" t="s">
        <v>491</v>
      </c>
      <c r="G206" s="434">
        <v>6945813</v>
      </c>
    </row>
    <row r="207" spans="1:7" ht="20.100000000000001" customHeight="1">
      <c r="A207" s="478" t="s">
        <v>492</v>
      </c>
      <c r="B207" s="176"/>
      <c r="C207" s="176"/>
      <c r="D207" s="176"/>
      <c r="E207" s="176"/>
      <c r="F207" s="180" t="s">
        <v>493</v>
      </c>
      <c r="G207" s="434">
        <v>3775432</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10000</v>
      </c>
    </row>
    <row r="210" spans="1:9" ht="20.100000000000001" customHeight="1">
      <c r="A210" s="478" t="s">
        <v>497</v>
      </c>
      <c r="B210" s="176"/>
      <c r="C210" s="176"/>
      <c r="D210" s="176"/>
      <c r="E210" s="176"/>
      <c r="F210" s="180" t="s">
        <v>498</v>
      </c>
      <c r="G210" s="434">
        <v>5643206.75</v>
      </c>
    </row>
    <row r="211" spans="1:9" ht="20.100000000000001" customHeight="1">
      <c r="A211" s="478" t="s">
        <v>499</v>
      </c>
      <c r="B211" s="176"/>
      <c r="C211" s="176"/>
      <c r="D211" s="176"/>
      <c r="E211" s="176"/>
      <c r="F211" s="180" t="s">
        <v>500</v>
      </c>
      <c r="G211" s="434">
        <v>1521979.8299999998</v>
      </c>
    </row>
    <row r="212" spans="1:9" ht="20.100000000000001" customHeight="1">
      <c r="A212" s="478" t="s">
        <v>501</v>
      </c>
      <c r="F212" s="195" t="s">
        <v>502</v>
      </c>
      <c r="G212" s="434">
        <v>7474595</v>
      </c>
    </row>
    <row r="213" spans="1:9" ht="20.100000000000001" customHeight="1">
      <c r="A213" s="478" t="s">
        <v>503</v>
      </c>
      <c r="B213" s="176"/>
      <c r="C213" s="176"/>
      <c r="D213" s="176"/>
      <c r="E213" s="176"/>
      <c r="F213" s="180" t="s">
        <v>504</v>
      </c>
      <c r="G213" s="434">
        <v>757939.99999999895</v>
      </c>
    </row>
    <row r="214" spans="1:9" ht="20.100000000000001" customHeight="1">
      <c r="A214" s="478" t="s">
        <v>505</v>
      </c>
      <c r="B214" s="176"/>
      <c r="C214" s="176"/>
      <c r="D214" s="176"/>
      <c r="E214" s="176"/>
      <c r="F214" s="180" t="s">
        <v>506</v>
      </c>
      <c r="G214" s="434">
        <v>1249474.3</v>
      </c>
    </row>
    <row r="215" spans="1:9" ht="20.100000000000001" customHeight="1">
      <c r="A215" s="478" t="s">
        <v>507</v>
      </c>
      <c r="B215" s="176"/>
      <c r="C215" s="176"/>
      <c r="D215" s="176"/>
      <c r="E215" s="176"/>
      <c r="F215" s="180" t="s">
        <v>508</v>
      </c>
      <c r="G215" s="434">
        <v>437135</v>
      </c>
    </row>
    <row r="216" spans="1:9" ht="20.100000000000001" customHeight="1">
      <c r="A216" s="478" t="s">
        <v>722</v>
      </c>
      <c r="B216" s="176"/>
      <c r="C216" s="176"/>
      <c r="D216" s="176"/>
      <c r="E216" s="176"/>
      <c r="F216" s="193" t="s">
        <v>509</v>
      </c>
      <c r="G216" s="434">
        <v>3500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2305048</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684</v>
      </c>
      <c r="B222" s="176"/>
      <c r="C222" s="176"/>
      <c r="D222" s="201"/>
      <c r="E222" s="176"/>
      <c r="F222" s="1056">
        <v>69100</v>
      </c>
      <c r="G222" s="434">
        <v>0</v>
      </c>
    </row>
    <row r="223" spans="1:9" ht="20.100000000000001" customHeight="1">
      <c r="A223" s="489" t="s">
        <v>685</v>
      </c>
      <c r="B223" s="202"/>
      <c r="C223" s="202"/>
      <c r="D223" s="203"/>
      <c r="E223" s="202"/>
      <c r="F223" s="1055">
        <v>69200</v>
      </c>
      <c r="G223" s="434">
        <v>598873.91</v>
      </c>
    </row>
    <row r="224" spans="1:9" ht="20.100000000000001" customHeight="1">
      <c r="A224" s="478" t="s">
        <v>520</v>
      </c>
      <c r="B224" s="176"/>
      <c r="C224" s="176"/>
      <c r="D224" s="176"/>
      <c r="E224" s="176"/>
      <c r="F224" s="180" t="s">
        <v>521</v>
      </c>
      <c r="G224" s="434">
        <v>882871</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3568809.75</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44021619.319999993</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3973586.5999999996</v>
      </c>
    </row>
    <row r="233" spans="1:7" ht="20.100000000000001" customHeight="1">
      <c r="A233" s="478" t="s">
        <v>529</v>
      </c>
      <c r="B233" s="176"/>
      <c r="C233" s="176"/>
      <c r="D233" s="176"/>
      <c r="E233" s="176"/>
      <c r="F233" s="180" t="s">
        <v>530</v>
      </c>
      <c r="G233" s="434">
        <v>0</v>
      </c>
    </row>
    <row r="234" spans="1:7" ht="20.100000000000001" customHeight="1">
      <c r="A234" s="478" t="s">
        <v>531</v>
      </c>
      <c r="B234" s="176"/>
      <c r="C234" s="176"/>
      <c r="D234" s="176"/>
      <c r="E234" s="176"/>
      <c r="F234" s="180" t="s">
        <v>532</v>
      </c>
      <c r="G234" s="434">
        <v>0</v>
      </c>
    </row>
    <row r="235" spans="1:7" ht="20.100000000000001" customHeight="1">
      <c r="A235" s="478" t="s">
        <v>533</v>
      </c>
      <c r="B235" s="176"/>
      <c r="C235" s="176"/>
      <c r="D235" s="176"/>
      <c r="E235" s="176"/>
      <c r="F235" s="1012" t="s">
        <v>534</v>
      </c>
      <c r="G235" s="434">
        <v>0</v>
      </c>
    </row>
    <row r="236" spans="1:7" ht="20.100000000000001" customHeight="1">
      <c r="A236" s="478" t="s">
        <v>710</v>
      </c>
      <c r="B236" s="176"/>
      <c r="C236" s="176"/>
      <c r="D236" s="176"/>
      <c r="E236" s="176"/>
      <c r="F236" s="195">
        <v>73001</v>
      </c>
      <c r="G236" s="434">
        <v>0</v>
      </c>
    </row>
    <row r="237" spans="1:7" ht="20.100000000000001" customHeight="1">
      <c r="A237" s="478" t="s">
        <v>677</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711</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3973586.5999999996</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178732430.91999999</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1910320</v>
      </c>
    </row>
    <row r="256" spans="1:7" ht="20.100000000000001" customHeight="1">
      <c r="A256" s="478" t="s">
        <v>552</v>
      </c>
      <c r="B256" s="176"/>
      <c r="C256" s="176"/>
      <c r="D256" s="176"/>
      <c r="E256" s="176"/>
      <c r="F256" s="189">
        <v>30500</v>
      </c>
      <c r="G256" s="434">
        <v>257180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56800000</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58967500</v>
      </c>
    </row>
    <row r="263" spans="1:12" ht="20.100000000000001" customHeight="1">
      <c r="A263" s="479"/>
      <c r="B263" s="176"/>
      <c r="C263" s="176"/>
      <c r="D263" s="176"/>
      <c r="E263" s="176"/>
      <c r="F263" s="189"/>
      <c r="G263" s="205"/>
    </row>
    <row r="264" spans="1:12" ht="20.100000000000001" customHeight="1" thickBot="1">
      <c r="A264" s="490" t="s">
        <v>747</v>
      </c>
      <c r="F264" s="195">
        <v>30800</v>
      </c>
      <c r="G264" s="1159">
        <v>-130150000</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-71182500</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St. Petersburg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723</v>
      </c>
      <c r="C27" s="1118">
        <v>40360</v>
      </c>
      <c r="D27" s="1119">
        <v>0</v>
      </c>
      <c r="E27" s="1119">
        <v>0</v>
      </c>
    </row>
    <row r="28" spans="1:5" s="169" customFormat="1" ht="24.95" customHeight="1" thickBot="1">
      <c r="A28" s="1115" t="s">
        <v>206</v>
      </c>
      <c r="B28" s="1120" t="s">
        <v>704</v>
      </c>
      <c r="C28" s="410" t="s">
        <v>705</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topLeftCell="A9" zoomScale="80" zoomScaleNormal="80" zoomScalePageLayoutView="80" workbookViewId="0">
      <selection activeCell="J15" sqref="J15"/>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St. Petersburg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748</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60389591.030000001</v>
      </c>
      <c r="C10" s="436">
        <v>5142551.38</v>
      </c>
      <c r="D10" s="436">
        <v>1405555</v>
      </c>
      <c r="E10" s="359">
        <f>SUM(B10:D10)</f>
        <v>66937697.410000004</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0</v>
      </c>
      <c r="D12" s="430">
        <v>0</v>
      </c>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22922200.670000002</v>
      </c>
      <c r="C14" s="438">
        <v>6923757.3800000008</v>
      </c>
      <c r="D14" s="438">
        <v>691461.8</v>
      </c>
      <c r="E14" s="360">
        <f t="shared" ref="E14:E20" si="0">SUM(B14:D14)</f>
        <v>30537419.850000005</v>
      </c>
      <c r="F14" s="342"/>
    </row>
    <row r="15" spans="1:8" s="11" customFormat="1" ht="20.100000000000001" customHeight="1">
      <c r="A15" s="358" t="s">
        <v>572</v>
      </c>
      <c r="B15" s="437">
        <v>380000</v>
      </c>
      <c r="C15" s="430">
        <v>0</v>
      </c>
      <c r="D15" s="430">
        <v>0</v>
      </c>
      <c r="E15" s="360">
        <f>SUM(B15:D15)</f>
        <v>380000</v>
      </c>
      <c r="F15" s="342"/>
    </row>
    <row r="16" spans="1:8" s="11" customFormat="1" ht="20.100000000000001" customHeight="1">
      <c r="A16" s="358" t="s">
        <v>573</v>
      </c>
      <c r="B16" s="437">
        <v>18973876.940000001</v>
      </c>
      <c r="C16" s="430">
        <v>4065984.9300000006</v>
      </c>
      <c r="D16" s="430">
        <v>555964.80000000005</v>
      </c>
      <c r="E16" s="360">
        <f t="shared" si="0"/>
        <v>23595826.670000002</v>
      </c>
      <c r="F16" s="342"/>
    </row>
    <row r="17" spans="1:6" s="11" customFormat="1" ht="20.100000000000001" customHeight="1">
      <c r="A17" s="358" t="s">
        <v>574</v>
      </c>
      <c r="B17" s="437">
        <v>16366213.58</v>
      </c>
      <c r="C17" s="430">
        <v>12826874.140000001</v>
      </c>
      <c r="D17" s="430">
        <v>854580</v>
      </c>
      <c r="E17" s="360">
        <f t="shared" si="0"/>
        <v>30047667.719999999</v>
      </c>
      <c r="F17" s="342"/>
    </row>
    <row r="18" spans="1:6" s="11" customFormat="1" ht="20.100000000000001" customHeight="1">
      <c r="A18" s="358" t="s">
        <v>575</v>
      </c>
      <c r="B18" s="437">
        <v>10972007.300000001</v>
      </c>
      <c r="C18" s="430">
        <v>11028593.739999989</v>
      </c>
      <c r="D18" s="430">
        <v>466025</v>
      </c>
      <c r="E18" s="360">
        <f t="shared" si="0"/>
        <v>22466626.039999992</v>
      </c>
      <c r="F18" s="342"/>
    </row>
    <row r="19" spans="1:6" s="11" customFormat="1" ht="20.100000000000001" customHeight="1">
      <c r="A19" s="358" t="s">
        <v>576</v>
      </c>
      <c r="B19" s="437">
        <v>0</v>
      </c>
      <c r="C19" s="430">
        <v>2305048</v>
      </c>
      <c r="D19" s="430">
        <v>0</v>
      </c>
      <c r="E19" s="360">
        <f t="shared" si="0"/>
        <v>2305048</v>
      </c>
      <c r="F19" s="342"/>
    </row>
    <row r="20" spans="1:6" s="11" customFormat="1" ht="20.100000000000001" customHeight="1" thickBot="1">
      <c r="A20" s="358" t="s">
        <v>577</v>
      </c>
      <c r="B20" s="437">
        <v>733335.48</v>
      </c>
      <c r="C20" s="431">
        <v>1728809.75</v>
      </c>
      <c r="D20" s="431">
        <v>0</v>
      </c>
      <c r="E20" s="360">
        <f t="shared" si="0"/>
        <v>2462145.23</v>
      </c>
      <c r="F20" s="342"/>
    </row>
    <row r="21" spans="1:6" s="11" customFormat="1" ht="24" customHeight="1" thickBot="1">
      <c r="A21" s="283" t="s">
        <v>47</v>
      </c>
      <c r="B21" s="343">
        <f>SUM(B10:B20)</f>
        <v>130737225</v>
      </c>
      <c r="C21" s="346">
        <f>SUM(C10:C20)</f>
        <v>44021619.319999993</v>
      </c>
      <c r="D21" s="346">
        <f>SUM(D10:D20)</f>
        <v>3973586.6</v>
      </c>
      <c r="E21" s="345">
        <f>SUM(E10:E20)</f>
        <v>178732430.91999999</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zoomScale="60" zoomScaleNormal="60" zoomScaleSheetLayoutView="50" zoomScalePageLayoutView="60" workbookViewId="0">
      <selection activeCell="I119" sqref="I119"/>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St. Petersburg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748</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727</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1224965.1200000001</v>
      </c>
      <c r="E11" s="724">
        <v>0</v>
      </c>
      <c r="F11" s="725">
        <f t="shared" si="0"/>
        <v>1224965.1200000001</v>
      </c>
      <c r="I11" s="82"/>
      <c r="J11" s="23"/>
      <c r="K11" s="87"/>
      <c r="L11" s="87"/>
      <c r="M11" s="87"/>
      <c r="N11" s="87"/>
    </row>
    <row r="12" spans="1:224" s="11" customFormat="1" ht="30" customHeight="1">
      <c r="A12" s="721" t="s">
        <v>391</v>
      </c>
      <c r="B12" s="722"/>
      <c r="C12" s="723" t="s">
        <v>392</v>
      </c>
      <c r="D12" s="724">
        <v>36353.129999999997</v>
      </c>
      <c r="E12" s="724">
        <v>0</v>
      </c>
      <c r="F12" s="725">
        <f t="shared" si="0"/>
        <v>36353.129999999997</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3778012.14</v>
      </c>
      <c r="E15" s="724">
        <v>0</v>
      </c>
      <c r="F15" s="725">
        <f t="shared" si="0"/>
        <v>3778012.14</v>
      </c>
      <c r="I15" s="82"/>
      <c r="J15" s="23"/>
      <c r="K15" s="87"/>
      <c r="L15" s="87"/>
      <c r="M15" s="87"/>
      <c r="N15" s="87"/>
    </row>
    <row r="16" spans="1:224" s="11" customFormat="1" ht="30" customHeight="1">
      <c r="A16" s="721" t="s">
        <v>399</v>
      </c>
      <c r="B16" s="722"/>
      <c r="C16" s="723" t="s">
        <v>400</v>
      </c>
      <c r="D16" s="724">
        <v>816377</v>
      </c>
      <c r="E16" s="724">
        <v>0</v>
      </c>
      <c r="F16" s="725">
        <f t="shared" si="0"/>
        <v>816377</v>
      </c>
    </row>
    <row r="17" spans="1:6" s="11" customFormat="1" ht="30" customHeight="1">
      <c r="A17" s="721" t="s">
        <v>401</v>
      </c>
      <c r="B17" s="722"/>
      <c r="C17" s="723" t="s">
        <v>402</v>
      </c>
      <c r="D17" s="724">
        <v>520</v>
      </c>
      <c r="E17" s="724">
        <v>0</v>
      </c>
      <c r="F17" s="725">
        <f t="shared" si="0"/>
        <v>520</v>
      </c>
    </row>
    <row r="18" spans="1:6" s="11" customFormat="1" ht="30" customHeight="1">
      <c r="A18" s="721" t="s">
        <v>403</v>
      </c>
      <c r="B18" s="722"/>
      <c r="C18" s="723" t="s">
        <v>404</v>
      </c>
      <c r="D18" s="724">
        <v>0</v>
      </c>
      <c r="E18" s="724">
        <v>0</v>
      </c>
      <c r="F18" s="725">
        <f t="shared" si="0"/>
        <v>0</v>
      </c>
    </row>
    <row r="19" spans="1:6" s="11" customFormat="1" ht="30" customHeight="1">
      <c r="A19" s="721" t="s">
        <v>682</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991715.43</v>
      </c>
      <c r="E25" s="724">
        <v>0</v>
      </c>
      <c r="F25" s="725">
        <f t="shared" si="0"/>
        <v>991715.43</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592532.56000000006</v>
      </c>
      <c r="E30" s="724">
        <v>0</v>
      </c>
      <c r="F30" s="725">
        <f t="shared" si="0"/>
        <v>592532.56000000006</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0</v>
      </c>
      <c r="E34" s="724">
        <v>0</v>
      </c>
      <c r="F34" s="725">
        <f t="shared" si="0"/>
        <v>0</v>
      </c>
    </row>
    <row r="35" spans="1:6" s="11" customFormat="1" ht="30" customHeight="1">
      <c r="A35" s="721" t="s">
        <v>436</v>
      </c>
      <c r="B35" s="722"/>
      <c r="C35" s="723">
        <v>56001</v>
      </c>
      <c r="D35" s="724">
        <v>1562006</v>
      </c>
      <c r="E35" s="724">
        <v>0</v>
      </c>
      <c r="F35" s="725">
        <f>+D35+E35</f>
        <v>1562006</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48839</v>
      </c>
      <c r="E38" s="724">
        <v>0</v>
      </c>
      <c r="F38" s="725">
        <f>+D38+E38</f>
        <v>48839</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32418</v>
      </c>
      <c r="E41" s="724">
        <v>0</v>
      </c>
      <c r="F41" s="725">
        <f t="shared" si="0"/>
        <v>32418</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424953.13</v>
      </c>
      <c r="E47" s="724">
        <v>0</v>
      </c>
      <c r="F47" s="725">
        <f t="shared" si="0"/>
        <v>424953.13</v>
      </c>
    </row>
    <row r="48" spans="1:6" s="11" customFormat="1" ht="30" customHeight="1">
      <c r="A48" s="721" t="s">
        <v>459</v>
      </c>
      <c r="B48" s="722"/>
      <c r="C48" s="723" t="s">
        <v>460</v>
      </c>
      <c r="D48" s="724">
        <v>865582.25</v>
      </c>
      <c r="E48" s="724">
        <v>0</v>
      </c>
      <c r="F48" s="725">
        <f t="shared" si="0"/>
        <v>865582.25</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1358625.06</v>
      </c>
      <c r="E53" s="724">
        <v>0</v>
      </c>
      <c r="F53" s="725">
        <f t="shared" si="0"/>
        <v>1358625.06</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70931</v>
      </c>
      <c r="E55" s="729">
        <v>0</v>
      </c>
      <c r="F55" s="730">
        <f t="shared" si="0"/>
        <v>70931</v>
      </c>
    </row>
    <row r="56" spans="1:6" s="169" customFormat="1" ht="30" customHeight="1" thickBot="1">
      <c r="A56" s="252" t="s">
        <v>474</v>
      </c>
      <c r="B56" s="253"/>
      <c r="C56" s="537"/>
      <c r="D56" s="258">
        <f>SUM(D10:D55)</f>
        <v>11803829.820000002</v>
      </c>
      <c r="E56" s="258">
        <f>SUM(E10:E55)</f>
        <v>0</v>
      </c>
      <c r="F56" s="258">
        <f t="shared" si="0"/>
        <v>11803829.820000002</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56328</v>
      </c>
      <c r="E63" s="439">
        <v>0</v>
      </c>
      <c r="F63" s="224">
        <f t="shared" si="0"/>
        <v>56328</v>
      </c>
    </row>
    <row r="64" spans="1:6" s="11" customFormat="1" ht="30" customHeight="1">
      <c r="A64" s="721" t="s">
        <v>478</v>
      </c>
      <c r="B64" s="722"/>
      <c r="C64" s="731" t="s">
        <v>479</v>
      </c>
      <c r="D64" s="724">
        <v>400</v>
      </c>
      <c r="E64" s="724">
        <v>0</v>
      </c>
      <c r="F64" s="725">
        <f t="shared" si="0"/>
        <v>400</v>
      </c>
    </row>
    <row r="65" spans="1:6" s="11" customFormat="1" ht="30" customHeight="1">
      <c r="A65" s="721" t="s">
        <v>480</v>
      </c>
      <c r="B65" s="722"/>
      <c r="C65" s="731" t="s">
        <v>481</v>
      </c>
      <c r="D65" s="724">
        <v>179672.18</v>
      </c>
      <c r="E65" s="724">
        <v>0</v>
      </c>
      <c r="F65" s="725">
        <f t="shared" si="0"/>
        <v>179672.18</v>
      </c>
    </row>
    <row r="66" spans="1:6" s="11" customFormat="1" ht="30" customHeight="1">
      <c r="A66" s="721" t="s">
        <v>482</v>
      </c>
      <c r="B66" s="722"/>
      <c r="C66" s="731" t="s">
        <v>483</v>
      </c>
      <c r="D66" s="724">
        <v>9648.8799999999992</v>
      </c>
      <c r="E66" s="724">
        <v>0</v>
      </c>
      <c r="F66" s="725">
        <f t="shared" si="0"/>
        <v>9648.8799999999992</v>
      </c>
    </row>
    <row r="67" spans="1:6" s="11" customFormat="1" ht="30" customHeight="1">
      <c r="A67" s="721" t="s">
        <v>589</v>
      </c>
      <c r="B67" s="722"/>
      <c r="C67" s="731" t="s">
        <v>485</v>
      </c>
      <c r="D67" s="724">
        <v>4500</v>
      </c>
      <c r="E67" s="724">
        <v>0</v>
      </c>
      <c r="F67" s="725">
        <f t="shared" si="0"/>
        <v>4500</v>
      </c>
    </row>
    <row r="68" spans="1:6" s="11" customFormat="1" ht="30" customHeight="1">
      <c r="A68" s="721" t="s">
        <v>486</v>
      </c>
      <c r="B68" s="722"/>
      <c r="C68" s="731" t="s">
        <v>487</v>
      </c>
      <c r="D68" s="724">
        <v>2292.84</v>
      </c>
      <c r="E68" s="724">
        <v>0</v>
      </c>
      <c r="F68" s="725">
        <f t="shared" si="0"/>
        <v>2292.84</v>
      </c>
    </row>
    <row r="69" spans="1:6" s="11" customFormat="1" ht="30" customHeight="1">
      <c r="A69" s="982" t="s">
        <v>675</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686</v>
      </c>
      <c r="B71" s="722"/>
      <c r="C71" s="731" t="s">
        <v>491</v>
      </c>
      <c r="D71" s="724">
        <v>500</v>
      </c>
      <c r="E71" s="724">
        <v>0</v>
      </c>
      <c r="F71" s="725">
        <f t="shared" si="0"/>
        <v>500</v>
      </c>
    </row>
    <row r="72" spans="1:6" s="11" customFormat="1" ht="30" customHeight="1">
      <c r="A72" s="721" t="s">
        <v>492</v>
      </c>
      <c r="B72" s="722"/>
      <c r="C72" s="731" t="s">
        <v>493</v>
      </c>
      <c r="D72" s="724">
        <v>113415.6</v>
      </c>
      <c r="E72" s="724">
        <v>0</v>
      </c>
      <c r="F72" s="725">
        <f t="shared" si="0"/>
        <v>113415.6</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46570</v>
      </c>
      <c r="E75" s="724">
        <v>0</v>
      </c>
      <c r="F75" s="725">
        <f t="shared" si="1"/>
        <v>46570</v>
      </c>
    </row>
    <row r="76" spans="1:6" s="11" customFormat="1" ht="30" customHeight="1">
      <c r="A76" s="721" t="s">
        <v>499</v>
      </c>
      <c r="B76" s="722"/>
      <c r="C76" s="731" t="s">
        <v>500</v>
      </c>
      <c r="D76" s="724">
        <v>69428.12</v>
      </c>
      <c r="E76" s="724">
        <v>0</v>
      </c>
      <c r="F76" s="725">
        <f t="shared" si="1"/>
        <v>69428.12</v>
      </c>
    </row>
    <row r="77" spans="1:6" s="11" customFormat="1" ht="30" customHeight="1">
      <c r="A77" s="721" t="s">
        <v>501</v>
      </c>
      <c r="B77" s="722"/>
      <c r="C77" s="731" t="s">
        <v>502</v>
      </c>
      <c r="D77" s="724">
        <v>1584188.75</v>
      </c>
      <c r="E77" s="724">
        <v>0</v>
      </c>
      <c r="F77" s="725">
        <f t="shared" si="1"/>
        <v>1584188.75</v>
      </c>
    </row>
    <row r="78" spans="1:6" s="11" customFormat="1" ht="30" customHeight="1">
      <c r="A78" s="721" t="s">
        <v>503</v>
      </c>
      <c r="B78" s="722"/>
      <c r="C78" s="731" t="s">
        <v>504</v>
      </c>
      <c r="D78" s="724">
        <v>29337</v>
      </c>
      <c r="E78" s="724">
        <v>0</v>
      </c>
      <c r="F78" s="725">
        <f t="shared" si="1"/>
        <v>29337</v>
      </c>
    </row>
    <row r="79" spans="1:6" s="11" customFormat="1" ht="30" customHeight="1">
      <c r="A79" s="721" t="s">
        <v>505</v>
      </c>
      <c r="B79" s="722"/>
      <c r="C79" s="731" t="s">
        <v>506</v>
      </c>
      <c r="D79" s="724">
        <v>208608</v>
      </c>
      <c r="E79" s="724">
        <v>0</v>
      </c>
      <c r="F79" s="725">
        <f t="shared" si="1"/>
        <v>208608</v>
      </c>
    </row>
    <row r="80" spans="1:6" s="11" customFormat="1" ht="30" customHeight="1">
      <c r="A80" s="721" t="s">
        <v>507</v>
      </c>
      <c r="B80" s="722"/>
      <c r="C80" s="731" t="s">
        <v>508</v>
      </c>
      <c r="D80" s="724">
        <v>200000</v>
      </c>
      <c r="E80" s="724">
        <v>0</v>
      </c>
      <c r="F80" s="725">
        <f t="shared" ref="F80:F85" si="2">+D80+E80</f>
        <v>200000</v>
      </c>
    </row>
    <row r="81" spans="1:6" s="11" customFormat="1" ht="30" customHeight="1">
      <c r="A81" s="721" t="s">
        <v>722</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2504889.37</v>
      </c>
      <c r="E92" s="254">
        <f>SUM(E63:E91)</f>
        <v>0</v>
      </c>
      <c r="F92" s="254">
        <f t="shared" si="1"/>
        <v>2504889.37</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f>50570.81</f>
        <v>50570.81</v>
      </c>
      <c r="E97" s="439">
        <v>0</v>
      </c>
      <c r="F97" s="224">
        <f t="shared" si="1"/>
        <v>50570.81</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710</v>
      </c>
      <c r="B102" s="1058"/>
      <c r="C102" s="1059">
        <v>73001</v>
      </c>
      <c r="D102" s="1083">
        <v>0</v>
      </c>
      <c r="E102" s="1083">
        <v>0</v>
      </c>
      <c r="F102" s="1016">
        <f t="shared" si="1"/>
        <v>0</v>
      </c>
    </row>
    <row r="103" spans="1:6" s="11" customFormat="1" ht="30" customHeight="1">
      <c r="A103" s="1060" t="s">
        <v>677</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711</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50570.81</v>
      </c>
      <c r="E110" s="258">
        <f>SUM(E97:E109)</f>
        <v>0</v>
      </c>
      <c r="F110" s="258">
        <f>SUM(D110:E110)</f>
        <v>50570.81</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14359290.000000002</v>
      </c>
      <c r="E112" s="254">
        <f>+E56+E92+E110</f>
        <v>0</v>
      </c>
      <c r="F112" s="254">
        <f>SUM(D112:E112)</f>
        <v>14359290.000000002</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6870799</v>
      </c>
      <c r="E117" s="724">
        <v>0</v>
      </c>
      <c r="F117" s="725">
        <f t="shared" ref="F117:F127" si="3">+D117+E117</f>
        <v>6870799</v>
      </c>
    </row>
    <row r="118" spans="1:6" s="63" customFormat="1" ht="30" customHeight="1">
      <c r="A118" s="721" t="s">
        <v>598</v>
      </c>
      <c r="B118" s="574"/>
      <c r="C118" s="733"/>
      <c r="D118" s="1039">
        <f>'EXHIBIT C'!F19</f>
        <v>430405</v>
      </c>
      <c r="E118" s="724">
        <v>0</v>
      </c>
      <c r="F118" s="725">
        <f t="shared" si="3"/>
        <v>430405</v>
      </c>
    </row>
    <row r="119" spans="1:6" s="63" customFormat="1" ht="50.25" customHeight="1">
      <c r="A119" s="721" t="s">
        <v>599</v>
      </c>
      <c r="B119" s="574"/>
      <c r="C119" s="733"/>
      <c r="D119" s="724">
        <v>2323907</v>
      </c>
      <c r="E119" s="724">
        <v>0</v>
      </c>
      <c r="F119" s="725">
        <f t="shared" si="3"/>
        <v>2323907</v>
      </c>
    </row>
    <row r="120" spans="1:6" s="63" customFormat="1" ht="30" customHeight="1">
      <c r="A120" s="721" t="s">
        <v>600</v>
      </c>
      <c r="B120" s="574"/>
      <c r="C120" s="733"/>
      <c r="D120" s="724">
        <v>0</v>
      </c>
      <c r="E120" s="724">
        <v>0</v>
      </c>
      <c r="F120" s="725">
        <f t="shared" si="3"/>
        <v>0</v>
      </c>
    </row>
    <row r="121" spans="1:6" s="63" customFormat="1" ht="30" customHeight="1">
      <c r="A121" s="954" t="s">
        <v>673</v>
      </c>
      <c r="B121" s="574"/>
      <c r="C121" s="733"/>
      <c r="D121" s="724">
        <v>0</v>
      </c>
      <c r="E121" s="724">
        <v>0</v>
      </c>
      <c r="F121" s="725">
        <f t="shared" si="3"/>
        <v>0</v>
      </c>
    </row>
    <row r="122" spans="1:6" s="63" customFormat="1" ht="30" customHeight="1">
      <c r="A122" s="721" t="s">
        <v>601</v>
      </c>
      <c r="B122" s="574"/>
      <c r="C122" s="733"/>
      <c r="D122" s="724">
        <v>4734179</v>
      </c>
      <c r="E122" s="724">
        <v>0</v>
      </c>
      <c r="F122" s="725">
        <f t="shared" si="3"/>
        <v>4734179</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14359290</v>
      </c>
      <c r="E128" s="248">
        <f>SUM(E116:E127)</f>
        <v>0</v>
      </c>
      <c r="F128" s="249">
        <f>SUM(F116:F127)</f>
        <v>14359290</v>
      </c>
    </row>
    <row r="129" spans="1:6" ht="14.1" customHeight="1">
      <c r="A129" s="237"/>
      <c r="B129" s="237"/>
      <c r="C129" s="238"/>
      <c r="D129" s="239"/>
      <c r="E129" s="239"/>
      <c r="F129" s="239"/>
    </row>
    <row r="130" spans="1:6" ht="83.25" customHeight="1">
      <c r="A130" s="898" t="s">
        <v>749</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751</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692</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F4EB99F0-3281-401A-A88B-34022978AF39}">
  <ds:schemaRefs>
    <ds:schemaRef ds:uri="http://schemas.microsoft.com/office/infopath/2007/PartnerControls"/>
    <ds:schemaRef ds:uri="http://purl.org/dc/dcmitype/"/>
    <ds:schemaRef ds:uri="http://schemas.microsoft.com/office/2006/documentManagement/types"/>
    <ds:schemaRef ds:uri="http://schemas.microsoft.com/office/2006/metadata/properties"/>
    <ds:schemaRef ds:uri="ee822479-6e51-4d14-b6b0-2c589e913e66"/>
    <ds:schemaRef ds:uri="http://www.w3.org/XML/1998/namespace"/>
    <ds:schemaRef ds:uri="http://purl.org/dc/elements/1.1/"/>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D</vt:lpstr>
      <vt:lpstr>EXHIBIT C(2)</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2026-06-24T20:25:30Z</cp:lastPrinted>
  <dcterms:created xsi:type="dcterms:W3CDTF">2005-03-22T15:46:43Z</dcterms:created>
  <dcterms:modified xsi:type="dcterms:W3CDTF">2026-08-04T12:52:06Z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y fmtid="{D5CDD505-2E9C-101B-9397-08002B2CF9AE}" pid="6" name="SV_QUERY_LIST_4F35BF76-6C0D-4D9B-82B2-816C12CF3733">
    <vt:lpwstr>empty_477D106A-C0D6-4607-AEBD-E2C9D60EA279</vt:lpwstr>
  </property>
  <property fmtid="{D5CDD505-2E9C-101B-9397-08002B2CF9AE}" pid="7" name="SV_HIDDEN_GRID_QUERY_LIST_4F35BF76-6C0D-4D9B-82B2-816C12CF3733">
    <vt:lpwstr>empty_477D106A-C0D6-4607-AEBD-E2C9D60EA279</vt:lpwstr>
  </property>
</Properties>
</file>