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St. Johns River\"/>
    </mc:Choice>
  </mc:AlternateContent>
  <xr:revisionPtr revIDLastSave="0" documentId="13_ncr:1_{213235E4-94BA-403C-AB1F-F4D294A041D0}" xr6:coauthVersionLast="47" xr6:coauthVersionMax="47" xr10:uidLastSave="{00000000-0000-0000-0000-000000000000}"/>
  <workbookProtection workbookAlgorithmName="SHA-512" workbookHashValue="vL3EsPo2EfqGc/RXogygY5uEZG3fCI3IMPhnLDoz/H5H6JjRjeT+SshvRbHR8TBPBSqoQ+UsrMekEvoQSpvwzA==" workbookSaltValue="c234n+i8g0+nx4jOFswgTw==" workbookSpinCount="100000" lockStructure="1"/>
  <bookViews>
    <workbookView xWindow="28860" yWindow="345"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4" l="1"/>
  <c r="C61" i="23"/>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B30" i="5"/>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c r="F10" i="6"/>
  <c r="E44" i="3" s="1"/>
  <c r="E47" i="3"/>
  <c r="C93" i="3" l="1"/>
  <c r="H11" i="6"/>
  <c r="G13" i="7" s="1"/>
  <c r="I31" i="5"/>
  <c r="H30" i="5"/>
  <c r="I30" i="5"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6" i="3" l="1"/>
  <c r="G46" i="3" s="1"/>
  <c r="G36" i="7"/>
  <c r="H37" i="6"/>
  <c r="H45" i="6"/>
  <c r="G38" i="7"/>
  <c r="G43" i="7" s="1"/>
  <c r="H17" i="6"/>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H28" i="6" l="1"/>
  <c r="H47" i="6" s="1"/>
  <c r="C126" i="3"/>
  <c r="F117" i="15"/>
  <c r="F128" i="15" s="1"/>
  <c r="C119" i="3"/>
  <c r="E18" i="4"/>
  <c r="E21" i="4" s="1"/>
  <c r="E23" i="4" s="1"/>
  <c r="E44" i="4" s="1"/>
  <c r="C17" i="3" s="1"/>
  <c r="F84" i="3"/>
  <c r="F88" i="3" s="1"/>
  <c r="C34" i="3" l="1"/>
  <c r="F130" i="15"/>
  <c r="C135" i="3"/>
  <c r="E35" i="4"/>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<sst xmlns="http://schemas.openxmlformats.org/spreadsheetml/2006/main" count="1323" uniqueCount="797">
  <si>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</si>
  <si>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</si>
  <si>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</si>
  <si>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</si>
  <si>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</si>
  <si>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</si>
  <si>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</si>
  <si>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</si>
  <si>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</si>
  <si>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</si>
  <si>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</si>
  <si>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</si>
  <si>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</si>
  <si>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</si>
  <si>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</si>
  <si>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</si>
  <si>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</si>
  <si>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</si>
  <si>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</si>
  <si>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</si>
  <si>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</si>
  <si>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</si>
  <si>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</si>
  <si>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</si>
  <si>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</si>
  <si>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</si>
  <si>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</si>
  <si>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</si>
  <si>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</si>
  <si>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</si>
  <si>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</si>
  <si>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</si>
  <si>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</si>
  <si>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</si>
  <si>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</si>
  <si>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</si>
  <si>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</si>
  <si>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</si>
  <si>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</si>
  <si>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</si>
  <si>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</si>
  <si>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</si>
  <si>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</si>
  <si>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</si>
  <si>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</si>
  <si>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</si>
  <si>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</si>
  <si>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</si>
  <si>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</si>
  <si>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</si>
  <si>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</si>
  <si>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</si>
  <si>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</si>
  <si>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</si>
  <si>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</si>
  <si>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</si>
  <si>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</si>
  <si>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</si>
  <si>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</si>
  <si>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</si>
  <si>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</si>
  <si>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</si>
  <si>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</si>
  <si>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</si>
  <si>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</si>
  <si>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</si>
  <si>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</si>
  <si>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</si>
  <si>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</si>
  <si>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</si>
  <si>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</si>
  <si>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</si>
  <si>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</si>
  <si>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</si>
  <si>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</si>
  <si>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</si>
  <si>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</si>
  <si>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</si>
  <si>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</si>
  <si>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</si>
  <si>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</si>
  <si>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</si>
  <si>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</si>
  <si>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</si>
  <si>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</si>
  <si>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</si>
  <si>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</si>
  <si>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</si>
  <si>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</si>
  <si>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</si>
  <si>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</si>
  <si>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</si>
  <si>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</si>
  <si>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</si>
  <si>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</si>
  <si>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</si>
  <si>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</si>
  <si>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</si>
  <si>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</si>
  <si>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</si>
  <si>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</si>
  <si>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</si>
  <si>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</si>
  <si>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</si>
  <si>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</si>
  <si>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</si>
  <si>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</si>
  <si>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</si>
  <si>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</si>
  <si>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</si>
  <si>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</si>
  <si>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</si>
  <si>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</si>
  <si>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</si>
  <si>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</si>
  <si>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</si>
  <si>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</si>
  <si>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</si>
  <si>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</si>
  <si>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</si>
  <si>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</si>
  <si>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</si>
  <si>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</si>
  <si>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</si>
  <si>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</si>
  <si>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</si>
  <si>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</si>
  <si>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</si>
  <si>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</si>
  <si>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</si>
  <si>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</si>
  <si>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</si>
  <si>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</si>
  <si>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</si>
  <si>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</si>
  <si>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</si>
  <si>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</si>
  <si>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</si>
  <si>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</si>
  <si>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</si>
  <si>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</si>
  <si>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</si>
  <si>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</si>
  <si>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</si>
  <si>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</si>
  <si>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</si>
  <si>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</si>
  <si>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</si>
  <si>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</si>
  <si>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</si>
  <si>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</si>
  <si>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</si>
  <si>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</si>
  <si>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</si>
  <si>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</si>
  <si>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</si>
  <si>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</si>
  <si>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</si>
  <si>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</si>
  <si>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</si>
  <si>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</si>
  <si>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</si>
  <si>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</si>
  <si>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</si>
  <si>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</si>
  <si>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</si>
  <si>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</si>
  <si>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</si>
  <si>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</si>
  <si>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</si>
  <si>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</si>
  <si>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</si>
  <si>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</si>
  <si>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</si>
  <si>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</si>
  <si>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</si>
  <si>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</si>
  <si>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</si>
  <si>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</si>
  <si>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</si>
  <si>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</si>
  <si>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</si>
  <si>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</si>
  <si>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</si>
  <si>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</si>
  <si>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</si>
  <si>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</si>
  <si>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</si>
  <si>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</si>
  <si>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</si>
  <si>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</si>
  <si>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</si>
  <si>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</si>
  <si>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</si>
  <si>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</si>
  <si>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</si>
  <si>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</si>
  <si>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</si>
  <si>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</si>
  <si>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</si>
  <si>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</si>
  <si>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</si>
  <si>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</si>
  <si>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</si>
  <si>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</si>
  <si>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</si>
  <si>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</si>
  <si>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</si>
  <si>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</si>
  <si>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</si>
  <si>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</si>
  <si>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</si>
  <si>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</si>
  <si>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</si>
  <si>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</si>
  <si>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</si>
  <si>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</si>
  <si>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</si>
  <si>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</si>
  <si>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</si>
  <si>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</si>
  <si>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</si>
  <si>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</si>
  <si>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</si>
  <si>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</si>
  <si>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</si>
  <si>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</si>
  <si>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</si>
  <si>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</si>
  <si>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</si>
  <si>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</si>
  <si>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</si>
  <si>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</si>
  <si>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</si>
  <si>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</si>
  <si>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</si>
  <si>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</si>
  <si>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</si>
  <si>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</si>
  <si>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</si>
  <si>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</si>
  <si>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</si>
  <si>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</si>
  <si>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</si>
  <si>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</si>
  <si>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</si>
  <si>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</si>
  <si>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</si>
  <si>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</si>
  <si>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</si>
  <si>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</si>
  <si>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</si>
  <si>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</si>
  <si>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</si>
  <si>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</si>
  <si>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</si>
  <si>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</si>
  <si>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</si>
  <si>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</si>
  <si>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</si>
  <si>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</si>
  <si>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</si>
  <si>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</si>
  <si>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</si>
  <si>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</si>
  <si>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</si>
  <si>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</si>
  <si>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</si>
  <si>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</si>
  <si>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</si>
  <si>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</si>
  <si>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</si>
  <si>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</si>
  <si>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</si>
  <si>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</si>
  <si>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</si>
  <si>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</si>
  <si>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</si>
  <si>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</si>
  <si>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</si>
  <si>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</si>
  <si>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</si>
  <si>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</si>
  <si>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</si>
  <si>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</si>
  <si>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</si>
  <si>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</si>
  <si>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</si>
  <si>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</si>
  <si>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</si>
  <si>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</si>
  <si>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</si>
  <si>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</si>
  <si>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</si>
  <si>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</si>
  <si>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</si>
  <si>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</si>
  <si>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</si>
  <si>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</si>
  <si>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</si>
  <si>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</si>
  <si>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</si>
  <si>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</si>
  <si>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</si>
  <si>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</si>
  <si>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</si>
  <si>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</si>
  <si>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</si>
  <si>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</si>
  <si>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</si>
  <si>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</si>
  <si>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</si>
  <si>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</si>
  <si>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</si>
  <si>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</si>
  <si>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</si>
  <si>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</si>
  <si>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</si>
  <si>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</si>
  <si>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</si>
  <si>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</si>
  <si>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</si>
  <si>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</si>
  <si>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</si>
  <si>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</si>
  <si>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</si>
  <si>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</si>
  <si>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</si>
  <si>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</si>
  <si>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</si>
  <si>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</si>
  <si>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</si>
  <si>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</si>
  <si>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</si>
  <si>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</si>
  <si>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</si>
  <si>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</si>
  <si>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</si>
  <si>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</si>
  <si>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</si>
  <si>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</si>
  <si>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</si>
  <si>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</si>
  <si>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</si>
  <si>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</si>
  <si>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</si>
  <si>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</si>
  <si>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</si>
  <si>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</si>
  <si>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</si>
  <si>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</si>
  <si>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</si>
  <si>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</si>
  <si>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</si>
  <si>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</si>
  <si>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</si>
  <si>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</si>
  <si>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</si>
  <si>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</si>
  <si>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</si>
  <si>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</si>
  <si>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</si>
  <si>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</si>
  <si>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</si>
  <si>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</si>
  <si>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</si>
  <si>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</si>
  <si>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</si>
  <si>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</si>
  <si>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</si>
  <si>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</si>
  <si>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</si>
  <si>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</si>
  <si>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</si>
  <si>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</si>
  <si>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</si>
  <si>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</si>
  <si>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</si>
  <si>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</si>
  <si>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</si>
  <si>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</si>
  <si>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</si>
  <si>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</si>
  <si>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</si>
  <si>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</si>
  <si>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</si>
  <si>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</si>
  <si>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</si>
  <si>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</si>
  <si>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</si>
  <si>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</si>
  <si>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</si>
  <si>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</si>
  <si>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</si>
  <si>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</si>
  <si>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</si>
  <si>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</si>
  <si>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</si>
  <si>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</si>
  <si>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</si>
  <si>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</si>
  <si>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</si>
  <si>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</si>
  <si>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</si>
  <si>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</si>
  <si>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</si>
  <si>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</si>
  <si>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</si>
  <si>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</si>
  <si>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</si>
  <si>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</si>
  <si>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</si>
  <si>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</si>
  <si>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</si>
  <si>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</si>
  <si>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</si>
  <si>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</si>
  <si>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</si>
  <si>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</si>
  <si>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</si>
  <si>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</si>
  <si>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</si>
  <si>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</si>
  <si>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</si>
  <si>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</si>
  <si>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</si>
  <si>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</si>
  <si>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</si>
  <si>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</si>
  <si>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</si>
  <si>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</si>
  <si>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</si>
  <si>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</si>
  <si>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</si>
  <si>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</si>
  <si>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</si>
  <si>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</si>
  <si>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</si>
  <si>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</si>
  <si>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</si>
  <si>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</si>
  <si>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</si>
  <si>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</si>
  <si>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</si>
  <si>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</si>
  <si>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</si>
  <si>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</si>
  <si>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</si>
  <si>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</si>
  <si>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</si>
  <si>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</si>
  <si>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</si>
  <si>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</si>
  <si>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</si>
  <si>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</si>
  <si>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</si>
  <si>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</si>
  <si>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</si>
  <si>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</si>
  <si>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</si>
  <si>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</si>
  <si>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</si>
  <si>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</si>
  <si>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</si>
  <si>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</si>
  <si>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</si>
  <si>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</si>
  <si>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</si>
  <si>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</si>
  <si>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</si>
  <si>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</si>
  <si>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</si>
  <si>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</si>
  <si>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</si>
  <si>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</si>
  <si>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</si>
  <si>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</si>
  <si>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</si>
  <si>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</si>
  <si>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</si>
  <si>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</si>
  <si>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</si>
  <si>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</si>
  <si>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</si>
  <si>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</si>
  <si>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</si>
  <si>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</si>
  <si>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</si>
  <si>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</si>
  <si>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</si>
  <si>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</si>
  <si>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</si>
  <si>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</si>
  <si>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</si>
  <si>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</si>
  <si>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</si>
  <si>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</si>
  <si>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</si>
  <si>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</si>
  <si>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</si>
  <si>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</si>
  <si>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</si>
  <si>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</si>
  <si>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</si>
  <si>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</si>
  <si>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</si>
  <si>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</si>
  <si>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</si>
  <si>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</si>
  <si>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</si>
  <si>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</si>
  <si>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</si>
  <si>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</si>
  <si>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</si>
  <si>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</si>
  <si>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</si>
  <si>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</si>
  <si>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</si>
  <si>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</si>
  <si>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</si>
  <si>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</si>
  <si>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</si>
  <si>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</si>
  <si>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</si>
  <si>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</si>
  <si>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</si>
  <si>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</si>
  <si>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</si>
  <si>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</si>
  <si>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</si>
  <si>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</si>
  <si>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</si>
  <si>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</si>
  <si>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</si>
  <si>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</si>
  <si>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</si>
  <si>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</si>
  <si>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</si>
  <si>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</si>
  <si>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</si>
  <si>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</si>
  <si>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</si>
  <si>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</si>
  <si>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</si>
  <si>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</si>
  <si>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</si>
  <si>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</si>
  <si>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</si>
  <si>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</si>
  <si>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</si>
  <si>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</si>
  <si>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</si>
  <si>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</si>
  <si>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</si>
  <si>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</si>
  <si>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</si>
  <si>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</si>
  <si>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</si>
  <si>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</si>
  <si>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</si>
  <si>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</si>
  <si>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</si>
  <si>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</si>
  <si>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</si>
  <si>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</si>
  <si>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</si>
  <si>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</si>
  <si>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</si>
  <si>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</si>
  <si>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</si>
  <si>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</si>
  <si>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</si>
  <si>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</si>
  <si>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</si>
  <si>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</si>
  <si>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</si>
  <si>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</si>
  <si>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</si>
  <si>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</si>
  <si>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</si>
  <si>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</si>
  <si>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</si>
  <si>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</si>
  <si>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</si>
  <si>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</si>
  <si>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</si>
  <si>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</si>
  <si>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</si>
  <si>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</si>
  <si>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</si>
  <si>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</si>
  <si>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</si>
  <si>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</si>
  <si>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</si>
  <si>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</si>
  <si>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</si>
  <si>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</si>
  <si>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</si>
  <si>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</si>
  <si>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</si>
  <si>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</si>
  <si>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</si>
  <si>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</si>
  <si>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</si>
  <si>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</si>
  <si>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</si>
  <si>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</si>
  <si>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</si>
  <si>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</si>
  <si>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</si>
  <si>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</si>
  <si>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</si>
  <si>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</si>
  <si>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</si>
  <si>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</si>
  <si>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</si>
  <si>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</si>
  <si>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</si>
  <si>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</si>
  <si>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</si>
  <si>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</si>
  <si>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</si>
  <si>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</si>
  <si>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</si>
  <si>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</si>
  <si>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</si>
  <si>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</si>
  <si>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</si>
  <si>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</si>
  <si>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</si>
  <si>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</si>
  <si>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</si>
  <si>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</si>
  <si>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</si>
  <si>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</si>
  <si>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</si>
  <si>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</si>
  <si>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</si>
  <si>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</si>
  <si>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</si>
  <si>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</si>
  <si>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</si>
  <si>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</si>
  <si>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</si>
  <si>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</si>
  <si>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</si>
  <si>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</si>
  <si>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</si>
  <si>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</si>
  <si>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</si>
  <si>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</si>
  <si>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</si>
  <si>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</si>
  <si>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</si>
  <si>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</si>
  <si>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</si>
  <si>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</si>
  <si>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</si>
  <si>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</si>
  <si>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</si>
  <si>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</si>
  <si>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</si>
  <si>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</si>
  <si>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</si>
  <si>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</si>
  <si>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</si>
  <si>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</si>
  <si>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</si>
  <si>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</si>
  <si>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</si>
  <si>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</si>
  <si>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</si>
  <si>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</si>
  <si>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</si>
  <si>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</si>
  <si>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</si>
  <si>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</si>
  <si>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</si>
  <si>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</si>
  <si>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</si>
  <si>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</si>
  <si>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</si>
  <si>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</si>
  <si>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</si>
  <si>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</si>
  <si>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</si>
  <si>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</si>
  <si>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</si>
  <si>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</si>
  <si>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</si>
  <si>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</si>
  <si>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</si>
  <si>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</si>
  <si>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</si>
  <si>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</si>
  <si>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</si>
  <si>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</si>
  <si>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</si>
  <si>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</si>
  <si>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</si>
  <si>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</si>
  <si>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</si>
  <si>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</si>
  <si>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</si>
  <si>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</si>
  <si>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</si>
  <si>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</si>
  <si>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</si>
  <si>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</si>
  <si>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</si>
  <si>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</si>
  <si>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</si>
  <si>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</si>
  <si>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</si>
  <si>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</si>
  <si>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</si>
  <si>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</si>
  <si>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</si>
  <si>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</si>
  <si>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</si>
  <si>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</si>
  <si>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</si>
  <si>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</si>
  <si>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</si>
  <si>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</si>
  <si>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</si>
  <si>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</si>
  <si>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</si>
  <si>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</si>
  <si>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</si>
  <si>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</si>
  <si>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</si>
  <si>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</si>
  <si>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</si>
  <si>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</si>
  <si>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</si>
  <si>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</si>
  <si>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</si>
  <si>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</si>
  <si>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</si>
  <si>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</si>
  <si>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</si>
  <si>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</si>
  <si>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</si>
  <si>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</si>
  <si>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</si>
  <si>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</si>
  <si>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</si>
  <si>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</si>
  <si>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</si>
  <si>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</si>
  <si>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</si>
  <si>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</si>
  <si>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</si>
  <si>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</si>
  <si>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</si>
  <si>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</si>
  <si>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</si>
  <si>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</si>
  <si>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</si>
  <si>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</si>
  <si>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</si>
  <si>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</si>
  <si>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</si>
  <si>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</si>
  <si>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</si>
  <si>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</si>
  <si>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</si>
  <si>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</si>
  <si>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</si>
  <si>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</si>
  <si>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</si>
  <si>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</si>
  <si>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</si>
  <si>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</si>
  <si>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</si>
  <si>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</si>
  <si>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</si>
  <si>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</si>
  <si>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</si>
  <si>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</si>
  <si>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</si>
  <si>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</si>
  <si>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</si>
  <si>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</si>
  <si>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</si>
  <si>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</si>
  <si>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</si>
  <si>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</si>
  <si>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</si>
  <si>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</si>
  <si>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</si>
  <si>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Operating Fund</t>
  </si>
  <si>
    <t>Unexpended Plant</t>
  </si>
  <si>
    <t>Auxiliary Fund</t>
  </si>
  <si>
    <t>A&amp;P Baccalaureate adjusted up due to five new degree programs (Biological Sciences, Digital Art &amp; Media, Exceptional Student Education, Performance Design &amp; Production, and Social &amp; Human Services) that started in 25-26 and we anticipate to continue to grow. We also added two degrees in Information Systems Technology, and Criminal Justice Applied Intelligence Studies that will start in 26-27; Career Certifcate adjusted down to more closely match actual results from prior year and anticipation of increased fee exemptions; Developmental Education adjusted down to more closely match actual results from prior year and anticipation of increased fee exemptions; Educator Preparation Institutes adjusted down to zero as it transitions from an institutional credit model to an upper division course model.</t>
  </si>
  <si>
    <t>Based on the actual revenue results for the past 2 years, the estimated out of state credit hours were adjusted to ensure the budgeted revenues in A &amp; P-lower level, PSV, Career Certificate, and Dev Ed was aligned with expected revenue results for the 26-27 fiscal year. Educator Preparation Institutes adjusted down to zero as it transitions from an institutional credit model to an upper division course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</si>
</sst>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40</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0.30696845336263995</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7740</v>
      </c>
      <c r="E44" s="108">
        <f>+'EXHIBIT C'!F10</f>
        <v>8220</v>
      </c>
      <c r="F44" s="109">
        <f t="shared" ref="F44:F50" si="0">IF(D44=0,"0",(E44/D44-1))</f>
        <v>6.2015503875969102E-2</v>
      </c>
      <c r="G44" s="110" t="str">
        <f t="shared" ref="G44:G50" si="1">IF(OR(F44&gt;3%, F44&lt;-3%),"YES","NO")</f>
        <v>YES</v>
      </c>
      <c r="H44" s="82"/>
    </row>
    <row r="45" spans="1:8" ht="20.100000000000001" customHeight="1">
      <c r="C45" s="111" t="s">
        <v>123</v>
      </c>
      <c r="D45" s="620">
        <f>VLOOKUP($D$7,VLOOKUP!$A$116:$S$144,5)*30+D60</f>
        <v>71761.99183383632</v>
      </c>
      <c r="E45" s="112">
        <f>+'EXHIBIT C'!F11</f>
        <v>72270</v>
      </c>
      <c r="F45" s="621">
        <f t="shared" si="0"/>
        <v>7.0790700366840653E-3</v>
      </c>
      <c r="G45" s="622" t="str">
        <f t="shared" si="1"/>
        <v>NO</v>
      </c>
      <c r="H45" s="82"/>
    </row>
    <row r="46" spans="1:8" ht="20.100000000000001" customHeight="1">
      <c r="C46" s="623" t="s">
        <v>124</v>
      </c>
      <c r="D46" s="624">
        <f>VLOOKUP($D$7,VLOOKUP!$A$116:$S$144,8)*30</f>
        <v>23635.275142314993</v>
      </c>
      <c r="E46" s="625">
        <f>+'EXHIBIT C'!F12</f>
        <v>23760</v>
      </c>
      <c r="F46" s="621">
        <f t="shared" si="0"/>
        <v>5.2770639196710878E-3</v>
      </c>
      <c r="G46" s="622" t="str">
        <f t="shared" si="1"/>
        <v>NO</v>
      </c>
      <c r="H46" s="82"/>
    </row>
    <row r="47" spans="1:8" ht="20.100000000000001" customHeight="1">
      <c r="C47" s="623" t="s">
        <v>74</v>
      </c>
      <c r="D47" s="624">
        <f>VLOOKUP($D$7,VLOOKUP!$A$116:$S$144,17)*30</f>
        <v>3860.8076009501192</v>
      </c>
      <c r="E47" s="625">
        <f>+'EXHIBIT C'!F13</f>
        <v>3690</v>
      </c>
      <c r="F47" s="621">
        <f t="shared" si="0"/>
        <v>-4.4241417497231539E-2</v>
      </c>
      <c r="G47" s="622" t="str">
        <f t="shared" si="1"/>
        <v>YES</v>
      </c>
      <c r="H47" s="82"/>
    </row>
    <row r="48" spans="1:8" ht="20.100000000000001" customHeight="1">
      <c r="C48" s="623" t="s">
        <v>125</v>
      </c>
      <c r="D48" s="624">
        <f>VLOOKUP($D$7,VLOOKUP!$A$116:$S$144,11)*30</f>
        <v>585</v>
      </c>
      <c r="E48" s="625">
        <f>+'EXHIBIT C'!F14</f>
        <v>660</v>
      </c>
      <c r="F48" s="621">
        <f t="shared" si="0"/>
        <v>0.12820512820512819</v>
      </c>
      <c r="G48" s="622" t="str">
        <f t="shared" si="1"/>
        <v>YES</v>
      </c>
      <c r="H48" s="82"/>
    </row>
    <row r="49" spans="3:8" ht="20.100000000000001" customHeight="1" thickBot="1">
      <c r="C49" s="626" t="s">
        <v>126</v>
      </c>
      <c r="D49" s="627">
        <f>VLOOKUP($D$7,VLOOKUP!$A$116:$S$144,14)*30</f>
        <v>147.93103448275863</v>
      </c>
      <c r="E49" s="628">
        <f>+'EXHIBIT C'!F15</f>
        <v>0</v>
      </c>
      <c r="F49" s="629">
        <f t="shared" si="0"/>
        <v>-1</v>
      </c>
      <c r="G49" s="630" t="str">
        <f t="shared" si="1"/>
        <v>YES</v>
      </c>
      <c r="H49" s="82"/>
    </row>
    <row r="50" spans="3:8" ht="20.100000000000001" customHeight="1" thickBot="1">
      <c r="C50" s="113" t="s">
        <v>47</v>
      </c>
      <c r="D50" s="114">
        <f>SUM(D44:D49)</f>
        <v>107731.00561158419</v>
      </c>
      <c r="E50" s="115">
        <f>+'EXHIBIT C'!F17</f>
        <v>108600</v>
      </c>
      <c r="F50" s="116">
        <f t="shared" si="0"/>
        <v>8.0663350674448075E-3</v>
      </c>
      <c r="G50" s="117" t="str">
        <f t="shared" si="1"/>
        <v>NO</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205.5" customHeight="1" thickBot="1">
      <c r="C53" s="1045" t="s">
        <v>795</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57.54</v>
      </c>
      <c r="F59" s="632" t="str">
        <f t="shared" ref="F59:F65" si="2">IF(D59=0,"0",(E59/D59-1))</f>
        <v>0</v>
      </c>
      <c r="G59" s="633" t="str">
        <f>IF(OR(F59&gt;5%, F59&lt;-5%),"YES","NO")</f>
        <v>NO</v>
      </c>
    </row>
    <row r="60" spans="3:8" ht="20.100000000000001" customHeight="1">
      <c r="C60" s="111" t="s">
        <v>123</v>
      </c>
      <c r="D60" s="631">
        <f>VLOOKUP($D$7,VLOOKUP!$A$116:$S$144,6)*30</f>
        <v>2106.1885318657905</v>
      </c>
      <c r="E60" s="125">
        <f>+'EXHIBIT C'!D20</f>
        <v>1980</v>
      </c>
      <c r="F60" s="632">
        <f t="shared" si="2"/>
        <v>-5.9913217623497883E-2</v>
      </c>
      <c r="G60" s="633" t="str">
        <f t="shared" ref="G60:G65" si="3">IF(OR(F60&gt;5%, F60&lt;-5%),"YES","NO")</f>
        <v>YES</v>
      </c>
      <c r="H60" s="82"/>
    </row>
    <row r="61" spans="3:8" ht="20.100000000000001" customHeight="1">
      <c r="C61" s="623" t="s">
        <v>124</v>
      </c>
      <c r="D61" s="634">
        <f>VLOOKUP($D$7,VLOOKUP!$A$116:$S$144,9)*30</f>
        <v>387.72296015180268</v>
      </c>
      <c r="E61" s="635">
        <f>+'EXHIBIT C'!D21</f>
        <v>450</v>
      </c>
      <c r="F61" s="632">
        <f t="shared" si="2"/>
        <v>0.1606225223902511</v>
      </c>
      <c r="G61" s="633" t="str">
        <f t="shared" si="3"/>
        <v>YES</v>
      </c>
      <c r="H61" s="82"/>
    </row>
    <row r="62" spans="3:8" ht="20.100000000000001" customHeight="1">
      <c r="C62" s="623" t="s">
        <v>74</v>
      </c>
      <c r="D62" s="634">
        <f>VLOOKUP($D$7,VLOOKUP!$A$116:$S$144,18)*30</f>
        <v>9.1923990498812351</v>
      </c>
      <c r="E62" s="635">
        <f>+'EXHIBIT C'!D22</f>
        <v>276.75</v>
      </c>
      <c r="F62" s="632">
        <f t="shared" si="2"/>
        <v>29.106395348837211</v>
      </c>
      <c r="G62" s="633" t="str">
        <f t="shared" si="3"/>
        <v>YES</v>
      </c>
      <c r="H62" s="82"/>
    </row>
    <row r="63" spans="3:8" ht="20.100000000000001" customHeight="1">
      <c r="C63" s="623" t="s">
        <v>125</v>
      </c>
      <c r="D63" s="634">
        <f>VLOOKUP($D$7,VLOOKUP!$A$116:$S$144,12)*30</f>
        <v>15</v>
      </c>
      <c r="E63" s="635">
        <f>+'EXHIBIT C'!D23</f>
        <v>0</v>
      </c>
      <c r="F63" s="632">
        <f t="shared" si="2"/>
        <v>-1</v>
      </c>
      <c r="G63" s="633" t="str">
        <f t="shared" si="3"/>
        <v>YES</v>
      </c>
      <c r="H63" s="82"/>
    </row>
    <row r="64" spans="3:8" ht="20.100000000000001" customHeight="1" thickBot="1">
      <c r="C64" s="626" t="s">
        <v>126</v>
      </c>
      <c r="D64" s="636">
        <f>VLOOKUP($D$7,VLOOKUP!$A$116:$S$144,15)*30</f>
        <v>2.0689655172413794</v>
      </c>
      <c r="E64" s="637">
        <f>+'EXHIBIT C'!D24</f>
        <v>0</v>
      </c>
      <c r="F64" s="638">
        <f t="shared" si="2"/>
        <v>-1</v>
      </c>
      <c r="G64" s="639" t="str">
        <f t="shared" si="3"/>
        <v>YES</v>
      </c>
      <c r="H64" s="82"/>
    </row>
    <row r="65" spans="1:8" ht="20.100000000000001" customHeight="1" thickBot="1">
      <c r="C65" s="113" t="s">
        <v>47</v>
      </c>
      <c r="D65" s="126">
        <f>SUM(D59:D64)</f>
        <v>2520.1728565847161</v>
      </c>
      <c r="E65" s="127">
        <f>SUM(E59:E64)</f>
        <v>2764.29</v>
      </c>
      <c r="F65" s="128">
        <f t="shared" si="2"/>
        <v>9.6865237944871119E-2</v>
      </c>
      <c r="G65" s="129" t="str">
        <f t="shared" si="3"/>
        <v>YES</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227.25" customHeight="1" thickBot="1">
      <c r="A68" s="92"/>
      <c r="B68" s="92"/>
      <c r="C68" s="1048" t="s">
        <v>796</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32205772</v>
      </c>
      <c r="E84" s="1086">
        <f>+'EXHIBIT D'!G77</f>
        <v>32205772</v>
      </c>
      <c r="F84" s="1086">
        <f>D84-E84</f>
        <v>0</v>
      </c>
      <c r="G84" s="82"/>
      <c r="H84" s="82"/>
    </row>
    <row r="85" spans="1:8" ht="20.100000000000001" customHeight="1">
      <c r="A85" s="92"/>
      <c r="B85" s="92"/>
      <c r="C85" s="642" t="s">
        <v>147</v>
      </c>
      <c r="D85" s="641">
        <f>VLOOKUP($D$7,VLOOKUP!$A$157:$B$185,2)</f>
        <v>348815</v>
      </c>
      <c r="E85" s="1086">
        <f>'EXHIBIT D'!G79</f>
        <v>348815</v>
      </c>
      <c r="F85" s="1086">
        <f>D85-E85</f>
        <v>0</v>
      </c>
      <c r="G85" s="82"/>
      <c r="H85" s="82"/>
    </row>
    <row r="86" spans="1:8" ht="20.100000000000001" customHeight="1">
      <c r="A86" s="92"/>
      <c r="B86" s="92"/>
      <c r="C86" s="642" t="s">
        <v>148</v>
      </c>
      <c r="D86" s="641">
        <f>VLOOKUP($D$7,VLOOKUP!$A$7:$E$35,3)</f>
        <v>4092028</v>
      </c>
      <c r="E86" s="1086">
        <f>'EXHIBIT D'!G82</f>
        <v>4092028</v>
      </c>
      <c r="F86" s="1086">
        <f>D86-E86</f>
        <v>0</v>
      </c>
      <c r="G86" s="82"/>
      <c r="H86" s="82"/>
    </row>
    <row r="87" spans="1:8" ht="20.100000000000001" customHeight="1" thickBot="1">
      <c r="A87" s="91"/>
      <c r="B87" s="91"/>
      <c r="C87" s="137" t="s">
        <v>680</v>
      </c>
      <c r="D87" s="641">
        <f>VLOOKUP($D$7,VLOOKUP!$A$192:$B$220,2)</f>
        <v>1585072</v>
      </c>
      <c r="E87" s="1087">
        <f>'EXHIBIT D'!G78</f>
        <v>1585072</v>
      </c>
      <c r="F87" s="1086">
        <f>D87-E87</f>
        <v>0</v>
      </c>
      <c r="G87" s="82"/>
      <c r="H87" s="82"/>
    </row>
    <row r="88" spans="1:8" ht="20.100000000000001" customHeight="1" thickBot="1">
      <c r="A88" s="91"/>
      <c r="B88" s="91"/>
      <c r="C88" s="138" t="s">
        <v>149</v>
      </c>
      <c r="D88" s="139">
        <f>SUM(D84:D87)</f>
        <v>38231687</v>
      </c>
      <c r="E88" s="139">
        <f>SUM(E84:E87)</f>
        <v>38231687</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23665402</v>
      </c>
      <c r="D101" s="786" t="s">
        <v>728</v>
      </c>
      <c r="E101" s="786"/>
      <c r="F101" s="786"/>
      <c r="G101" s="82"/>
      <c r="H101" s="82"/>
    </row>
    <row r="102" spans="1:8" ht="20.100000000000001" customHeight="1">
      <c r="A102" s="89"/>
      <c r="B102" s="89"/>
      <c r="C102" s="644">
        <f>'EXHIBIT D'!G266-'EXHIBIT D'!G252-'EXHIBIT D'!G264</f>
        <v>23665402</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39194988</v>
      </c>
      <c r="D108" s="11" t="s">
        <v>730</v>
      </c>
    </row>
    <row r="109" spans="1:8" ht="26.25" customHeight="1">
      <c r="A109" s="145"/>
      <c r="B109" s="145"/>
      <c r="C109" s="646">
        <f>'EXHIBIT A'!E36</f>
        <v>39744988</v>
      </c>
      <c r="D109" s="11" t="s">
        <v>731</v>
      </c>
    </row>
    <row r="110" spans="1:8" ht="26.1" customHeight="1">
      <c r="A110" s="145"/>
      <c r="B110" s="145"/>
      <c r="C110" s="647">
        <f>C108-C109</f>
        <v>-550000</v>
      </c>
      <c r="D110" s="83" t="s">
        <v>157</v>
      </c>
      <c r="E110" s="83"/>
      <c r="F110" s="83"/>
      <c r="G110" s="83"/>
    </row>
    <row r="111" spans="1:8" ht="20.100000000000001" customHeight="1">
      <c r="A111" s="145"/>
      <c r="B111" s="145"/>
      <c r="C111" s="148"/>
    </row>
    <row r="112" spans="1:8" ht="26.1" customHeight="1">
      <c r="A112" s="145"/>
      <c r="B112" s="145"/>
      <c r="C112" s="645">
        <f>'EXHIBIT D'!G186</f>
        <v>550000</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91.790024330900238</v>
      </c>
      <c r="D119" s="11" t="s">
        <v>78</v>
      </c>
    </row>
    <row r="120" spans="1:8" ht="20.100000000000001" customHeight="1">
      <c r="C120" s="151"/>
    </row>
    <row r="121" spans="1:8" ht="20.100000000000001" customHeight="1">
      <c r="C121" s="152">
        <f>IF('EXHIBIT G'!D118=0,"No Credit Hours or Not Applicable",('EXHIBIT G'!D118/'EXHIBIT C'!D19))</f>
        <v>373.35766423357666</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St. Johns River State College</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v>-16479898</v>
      </c>
    </row>
    <row r="14" spans="2:7" ht="25.35" customHeight="1">
      <c r="B14" s="11" t="s">
        <v>171</v>
      </c>
      <c r="D14" s="22"/>
      <c r="E14" s="1157">
        <v>39194988</v>
      </c>
    </row>
    <row r="15" spans="2:7" ht="25.35" customHeight="1">
      <c r="B15" s="22"/>
      <c r="D15" s="22"/>
      <c r="E15" s="156"/>
    </row>
    <row r="16" spans="2:7" ht="25.35" customHeight="1">
      <c r="B16" s="11" t="s">
        <v>736</v>
      </c>
      <c r="C16" s="22"/>
      <c r="D16" s="22"/>
      <c r="E16" s="555">
        <f>+E14+E13</f>
        <v>22715090</v>
      </c>
    </row>
    <row r="17" spans="2:7" ht="25.35" customHeight="1">
      <c r="B17" s="22"/>
      <c r="C17" s="22"/>
      <c r="D17" s="22"/>
      <c r="E17" s="157"/>
    </row>
    <row r="18" spans="2:7" ht="25.35" customHeight="1">
      <c r="B18" s="11" t="s">
        <v>172</v>
      </c>
      <c r="C18" s="22"/>
      <c r="D18" s="22"/>
      <c r="E18" s="167">
        <f>+'EXHIBIT D'!G143-SUM(+'EXHIBIT D'!G133+'EXHIBIT D'!G134)</f>
        <v>54178832</v>
      </c>
      <c r="G18" s="132"/>
    </row>
    <row r="19" spans="2:7" ht="25.35" customHeight="1">
      <c r="B19" s="11" t="s">
        <v>173</v>
      </c>
      <c r="D19" s="22"/>
      <c r="E19" s="555">
        <f>+'EXHIBIT D'!G133+'EXHIBIT D'!G134</f>
        <v>200000</v>
      </c>
    </row>
    <row r="20" spans="2:7" ht="25.35" customHeight="1">
      <c r="B20" s="22"/>
      <c r="D20" s="22"/>
      <c r="E20" s="162"/>
    </row>
    <row r="21" spans="2:7" ht="25.35" customHeight="1">
      <c r="B21" s="11" t="s">
        <v>174</v>
      </c>
      <c r="C21" s="22"/>
      <c r="D21" s="22"/>
      <c r="E21" s="556">
        <f>+E19+E18</f>
        <v>54378832</v>
      </c>
    </row>
    <row r="22" spans="2:7" ht="25.35" customHeight="1">
      <c r="B22" s="22"/>
      <c r="C22" s="22"/>
      <c r="D22" s="22"/>
      <c r="E22" s="162"/>
    </row>
    <row r="23" spans="2:7" ht="25.35" customHeight="1">
      <c r="B23" s="22" t="s">
        <v>175</v>
      </c>
      <c r="C23" s="22"/>
      <c r="D23" s="22"/>
      <c r="E23" s="556">
        <f>+E21+E16</f>
        <v>77093922</v>
      </c>
    </row>
    <row r="24" spans="2:7" ht="25.35" customHeight="1">
      <c r="B24" s="22"/>
      <c r="C24" s="22"/>
      <c r="D24" s="22"/>
      <c r="E24" s="162"/>
    </row>
    <row r="25" spans="2:7" ht="25.35" customHeight="1">
      <c r="B25" s="11" t="s">
        <v>176</v>
      </c>
      <c r="C25" s="22"/>
      <c r="D25" s="22"/>
      <c r="E25" s="168">
        <f>'EXHIBIT D'!G248-SUM(+'EXHIBIT D'!G222+'EXHIBIT D'!G223)</f>
        <v>53459577</v>
      </c>
    </row>
    <row r="26" spans="2:7" ht="25.35" customHeight="1">
      <c r="B26" s="11" t="s">
        <v>177</v>
      </c>
      <c r="D26" s="22"/>
      <c r="E26" s="555">
        <f>'EXHIBIT D'!G222+'EXHIBIT D'!G223</f>
        <v>500000</v>
      </c>
    </row>
    <row r="27" spans="2:7" ht="25.35" customHeight="1">
      <c r="B27" s="22"/>
      <c r="D27" s="22"/>
      <c r="E27" s="162"/>
    </row>
    <row r="28" spans="2:7" ht="25.35" customHeight="1">
      <c r="B28" s="22" t="s">
        <v>178</v>
      </c>
      <c r="C28" s="22"/>
      <c r="D28" s="22"/>
      <c r="E28" s="557">
        <f>+E26+E25</f>
        <v>53959577</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23134345</v>
      </c>
      <c r="E32" s="158"/>
    </row>
    <row r="33" spans="2:10" ht="25.35" customHeight="1">
      <c r="B33" s="11" t="s">
        <v>180</v>
      </c>
      <c r="C33" s="22"/>
      <c r="D33" s="558">
        <f>+'EXHIBIT D'!G186</f>
        <v>550000</v>
      </c>
      <c r="E33" s="158"/>
    </row>
    <row r="34" spans="2:10" ht="25.35" customHeight="1">
      <c r="B34" s="22"/>
      <c r="D34" s="22"/>
      <c r="E34" s="158"/>
      <c r="J34" s="160"/>
    </row>
    <row r="35" spans="2:10" ht="25.35" customHeight="1">
      <c r="B35" s="11" t="s">
        <v>738</v>
      </c>
      <c r="C35" s="22"/>
      <c r="D35" s="22"/>
      <c r="E35" s="161">
        <f>+D32+D33</f>
        <v>23684345</v>
      </c>
    </row>
    <row r="36" spans="2:10" ht="25.35" customHeight="1">
      <c r="B36" s="11" t="s">
        <v>739</v>
      </c>
      <c r="C36" s="22"/>
      <c r="D36" s="22"/>
      <c r="E36" s="556">
        <f>-'EXHIBIT D'!G264</f>
        <v>39744988</v>
      </c>
      <c r="J36" s="42"/>
    </row>
    <row r="37" spans="2:10" ht="25.35" customHeight="1">
      <c r="D37" s="22"/>
      <c r="E37" s="161"/>
    </row>
    <row r="38" spans="2:10" ht="25.35" customHeight="1">
      <c r="B38" s="22" t="s">
        <v>740</v>
      </c>
      <c r="D38" s="22"/>
      <c r="E38" s="555">
        <f>+E35-E36</f>
        <v>-16060643</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23665402</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0.30696845336263995</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Vs0eQEqPi/tsIfFt1l6HCT/q1wdBkvSW6Yo4dk+F4vSsLOYsVAKWY+f05GO2qx0vpp+eaj0I5c34Gr/AhuhwAQ==" saltValue="U0JKgzQe1lfgvmwnEIjCFw=="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zoomScale="70" zoomScaleNormal="70" zoomScalePageLayoutView="50" workbookViewId="0">
      <selection activeCell="C11" sqref="C11"/>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St. Johns River State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4.51</v>
      </c>
      <c r="D14" s="928">
        <v>9.18</v>
      </c>
      <c r="E14" s="928">
        <v>12.68</v>
      </c>
      <c r="F14" s="928">
        <v>4.59</v>
      </c>
      <c r="G14" s="649">
        <f>SUM(B14:F14)</f>
        <v>122.75000000000003</v>
      </c>
      <c r="H14" s="355">
        <f>G14*30</f>
        <v>3682.5000000000009</v>
      </c>
    </row>
    <row r="15" spans="1:18" s="11" customFormat="1" ht="20.100000000000001" customHeight="1">
      <c r="A15" s="22" t="s">
        <v>198</v>
      </c>
      <c r="B15" s="929">
        <v>78.84</v>
      </c>
      <c r="C15" s="929">
        <v>3.51</v>
      </c>
      <c r="D15" s="929">
        <v>7.88</v>
      </c>
      <c r="E15" s="929">
        <v>11.83</v>
      </c>
      <c r="F15" s="929">
        <v>3.94</v>
      </c>
      <c r="G15" s="649">
        <f>SUM(B15:F15)</f>
        <v>106</v>
      </c>
      <c r="H15" s="328">
        <f>G15*30</f>
        <v>3180</v>
      </c>
    </row>
    <row r="16" spans="1:18" s="11" customFormat="1" ht="20.100000000000001" customHeight="1" thickBot="1">
      <c r="A16" s="22" t="s">
        <v>74</v>
      </c>
      <c r="B16" s="930">
        <v>69.930000000000007</v>
      </c>
      <c r="C16" s="930">
        <v>3.57</v>
      </c>
      <c r="D16" s="931"/>
      <c r="E16" s="930">
        <v>3.5</v>
      </c>
      <c r="F16" s="930">
        <v>3.5</v>
      </c>
      <c r="G16" s="329">
        <f>SUM(B16:F16)</f>
        <v>80.5</v>
      </c>
      <c r="H16" s="650">
        <f>G16*30</f>
        <v>2415</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30</v>
      </c>
      <c r="C20" s="310"/>
      <c r="D20" s="310"/>
      <c r="E20" s="310"/>
      <c r="F20" s="310"/>
      <c r="G20" s="331">
        <f>B20</f>
        <v>30</v>
      </c>
      <c r="H20" s="543">
        <f>G20*3</f>
        <v>90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373.36</v>
      </c>
      <c r="D29" s="928">
        <v>23.18</v>
      </c>
      <c r="E29" s="515">
        <f>D14</f>
        <v>9.18</v>
      </c>
      <c r="F29" s="928">
        <v>47.24</v>
      </c>
      <c r="G29" s="928">
        <v>23.25</v>
      </c>
      <c r="H29" s="336">
        <f>SUM(B29:G29)</f>
        <v>568</v>
      </c>
      <c r="I29" s="349">
        <f>H29*30</f>
        <v>17040</v>
      </c>
    </row>
    <row r="30" spans="1:11" s="11" customFormat="1" ht="20.100000000000001" customHeight="1">
      <c r="A30" s="22" t="str">
        <f t="shared" si="0"/>
        <v>LOWER LEVEL - CREDIT (A &amp; P, PSV, DEVELOPMENTAL EDUCATION AND EPI)</v>
      </c>
      <c r="B30" s="653">
        <f t="shared" si="0"/>
        <v>78.84</v>
      </c>
      <c r="C30" s="932">
        <v>236.69</v>
      </c>
      <c r="D30" s="932">
        <v>14.2</v>
      </c>
      <c r="E30" s="654">
        <f>D15</f>
        <v>7.88</v>
      </c>
      <c r="F30" s="932">
        <v>33.549999999999997</v>
      </c>
      <c r="G30" s="932">
        <v>15.78</v>
      </c>
      <c r="H30" s="649">
        <f>SUM(B30:G30)</f>
        <v>386.93999999999994</v>
      </c>
      <c r="I30" s="328">
        <f>H30*30</f>
        <v>11608.199999999999</v>
      </c>
    </row>
    <row r="31" spans="1:11" s="11" customFormat="1" ht="20.100000000000001" customHeight="1">
      <c r="A31" s="22" t="str">
        <f t="shared" si="0"/>
        <v>CAREER CERTIFICATE AND APPLIED TECHNOLOGY DIPLOMA</v>
      </c>
      <c r="B31" s="1106">
        <f t="shared" si="0"/>
        <v>69.930000000000007</v>
      </c>
      <c r="C31" s="929">
        <v>209.79</v>
      </c>
      <c r="D31" s="929">
        <v>14.55</v>
      </c>
      <c r="E31" s="1107"/>
      <c r="F31" s="929">
        <v>13.99</v>
      </c>
      <c r="G31" s="929">
        <v>13.99</v>
      </c>
      <c r="H31" s="1108">
        <f>SUM(B31:G31)</f>
        <v>322.25000000000006</v>
      </c>
      <c r="I31" s="1108">
        <f>H31*30</f>
        <v>9667.5000000000018</v>
      </c>
    </row>
    <row r="32" spans="1:11" s="11" customFormat="1" ht="20.100000000000001" customHeight="1" thickBot="1">
      <c r="A32" s="22" t="s">
        <v>707</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30</v>
      </c>
      <c r="C36" s="310"/>
      <c r="D36" s="310"/>
      <c r="E36" s="310"/>
      <c r="F36" s="310"/>
      <c r="G36" s="310"/>
      <c r="H36" s="340">
        <f>B36</f>
        <v>30</v>
      </c>
      <c r="I36" s="657">
        <f>H36*3</f>
        <v>90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70" zoomScaleNormal="70" zoomScaleSheetLayoutView="50" zoomScalePageLayoutView="50" workbookViewId="0">
      <selection activeCell="E15" sqref="E15"/>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St. Johns River State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8490</v>
      </c>
      <c r="E10" s="518">
        <v>270</v>
      </c>
      <c r="F10" s="519">
        <f t="shared" ref="F10:F15" si="0">+D10-E10</f>
        <v>8220</v>
      </c>
      <c r="G10" s="519">
        <f>'EXHIBIT B'!B14</f>
        <v>91.79</v>
      </c>
      <c r="H10" s="1156">
        <f>ROUND(+F10*G10,0)</f>
        <v>754514</v>
      </c>
    </row>
    <row r="11" spans="1:9" ht="20.100000000000001" customHeight="1">
      <c r="A11" s="660" t="s">
        <v>191</v>
      </c>
      <c r="B11" s="660" t="s">
        <v>123</v>
      </c>
      <c r="C11" s="661" t="s">
        <v>218</v>
      </c>
      <c r="D11" s="659">
        <v>117540</v>
      </c>
      <c r="E11" s="659">
        <v>45270</v>
      </c>
      <c r="F11" s="662">
        <f t="shared" si="0"/>
        <v>72270</v>
      </c>
      <c r="G11" s="662">
        <f>+'EXHIBIT B'!B15</f>
        <v>78.84</v>
      </c>
      <c r="H11" s="663">
        <f t="shared" ref="H11:H15" si="1">ROUND(+F11*G11,0)</f>
        <v>5697767</v>
      </c>
    </row>
    <row r="12" spans="1:9" ht="20.100000000000001" customHeight="1">
      <c r="A12" s="660" t="s">
        <v>191</v>
      </c>
      <c r="B12" s="660" t="s">
        <v>124</v>
      </c>
      <c r="C12" s="661" t="s">
        <v>219</v>
      </c>
      <c r="D12" s="659">
        <v>29190</v>
      </c>
      <c r="E12" s="659">
        <v>5430</v>
      </c>
      <c r="F12" s="662">
        <f t="shared" si="0"/>
        <v>23760</v>
      </c>
      <c r="G12" s="662">
        <f>+'EXHIBIT B'!B15</f>
        <v>78.84</v>
      </c>
      <c r="H12" s="663">
        <f t="shared" si="1"/>
        <v>1873238</v>
      </c>
    </row>
    <row r="13" spans="1:9" ht="20.100000000000001" customHeight="1">
      <c r="A13" s="660" t="s">
        <v>191</v>
      </c>
      <c r="B13" s="660" t="s">
        <v>74</v>
      </c>
      <c r="C13" s="661" t="s">
        <v>220</v>
      </c>
      <c r="D13" s="664">
        <v>3690</v>
      </c>
      <c r="E13" s="664">
        <v>0</v>
      </c>
      <c r="F13" s="662">
        <f t="shared" si="0"/>
        <v>3690</v>
      </c>
      <c r="G13" s="662">
        <f>+'EXHIBIT B'!B16</f>
        <v>69.930000000000007</v>
      </c>
      <c r="H13" s="663">
        <f t="shared" si="1"/>
        <v>258042</v>
      </c>
    </row>
    <row r="14" spans="1:9" ht="20.100000000000001" customHeight="1">
      <c r="A14" s="660" t="s">
        <v>191</v>
      </c>
      <c r="B14" s="660" t="s">
        <v>125</v>
      </c>
      <c r="C14" s="661" t="s">
        <v>221</v>
      </c>
      <c r="D14" s="659">
        <v>840</v>
      </c>
      <c r="E14" s="659">
        <v>180</v>
      </c>
      <c r="F14" s="662">
        <f t="shared" si="0"/>
        <v>660</v>
      </c>
      <c r="G14" s="662">
        <f>+'EXHIBIT B'!B15</f>
        <v>78.84</v>
      </c>
      <c r="H14" s="663">
        <f t="shared" si="1"/>
        <v>52034</v>
      </c>
    </row>
    <row r="15" spans="1:9" ht="20.100000000000001" customHeight="1" thickBot="1">
      <c r="A15" s="665" t="s">
        <v>191</v>
      </c>
      <c r="B15" s="665" t="s">
        <v>126</v>
      </c>
      <c r="C15" s="666">
        <v>40160</v>
      </c>
      <c r="D15" s="667">
        <v>0</v>
      </c>
      <c r="E15" s="667">
        <v>0</v>
      </c>
      <c r="F15" s="668">
        <f t="shared" si="0"/>
        <v>0</v>
      </c>
      <c r="G15" s="668">
        <f>+'EXHIBIT B'!B15</f>
        <v>78.84</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159750</v>
      </c>
      <c r="E17" s="292">
        <f>SUM(E10:E15)</f>
        <v>51150</v>
      </c>
      <c r="F17" s="293">
        <f>SUM(F10:F15)</f>
        <v>108600</v>
      </c>
      <c r="G17" s="293"/>
      <c r="H17" s="294">
        <f>SUM(H10:H15)</f>
        <v>8635595</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57.54</v>
      </c>
      <c r="E19" s="671">
        <f>'EXHIBIT B'!C29</f>
        <v>373.36</v>
      </c>
      <c r="F19" s="1155">
        <f t="shared" ref="F19:F25" si="2">ROUND(+D19*E19,0)</f>
        <v>21483</v>
      </c>
      <c r="G19" s="296"/>
      <c r="H19" s="296"/>
    </row>
    <row r="20" spans="1:9" ht="20.100000000000001" customHeight="1">
      <c r="A20" s="611" t="s">
        <v>206</v>
      </c>
      <c r="B20" s="611" t="s">
        <v>123</v>
      </c>
      <c r="C20" s="672" t="s">
        <v>225</v>
      </c>
      <c r="D20" s="679">
        <v>1980</v>
      </c>
      <c r="E20" s="673">
        <f>+'EXHIBIT B'!C30</f>
        <v>236.69</v>
      </c>
      <c r="F20" s="674">
        <f t="shared" si="2"/>
        <v>468646</v>
      </c>
      <c r="G20" s="42"/>
      <c r="H20" s="42"/>
    </row>
    <row r="21" spans="1:9" ht="20.100000000000001" customHeight="1">
      <c r="A21" s="611" t="s">
        <v>206</v>
      </c>
      <c r="B21" s="611" t="s">
        <v>124</v>
      </c>
      <c r="C21" s="672" t="s">
        <v>226</v>
      </c>
      <c r="D21" s="679">
        <v>450</v>
      </c>
      <c r="E21" s="673">
        <f>+'EXHIBIT B'!C30</f>
        <v>236.69</v>
      </c>
      <c r="F21" s="674">
        <f t="shared" si="2"/>
        <v>106511</v>
      </c>
      <c r="G21" s="42"/>
      <c r="H21" s="42"/>
    </row>
    <row r="22" spans="1:9" ht="20.100000000000001" customHeight="1">
      <c r="A22" s="611" t="s">
        <v>206</v>
      </c>
      <c r="B22" s="611" t="s">
        <v>74</v>
      </c>
      <c r="C22" s="672" t="s">
        <v>227</v>
      </c>
      <c r="D22" s="679">
        <v>276.75</v>
      </c>
      <c r="E22" s="673">
        <f>+'EXHIBIT B'!C31</f>
        <v>209.79</v>
      </c>
      <c r="F22" s="674">
        <f t="shared" si="2"/>
        <v>58059</v>
      </c>
      <c r="G22" s="42"/>
      <c r="H22" s="42"/>
    </row>
    <row r="23" spans="1:9" ht="20.100000000000001" customHeight="1">
      <c r="A23" s="611" t="s">
        <v>206</v>
      </c>
      <c r="B23" s="611" t="s">
        <v>125</v>
      </c>
      <c r="C23" s="672" t="s">
        <v>228</v>
      </c>
      <c r="D23" s="679">
        <v>0</v>
      </c>
      <c r="E23" s="673">
        <f>+'EXHIBIT B'!C30</f>
        <v>236.69</v>
      </c>
      <c r="F23" s="674">
        <f t="shared" si="2"/>
        <v>0</v>
      </c>
      <c r="G23" s="42"/>
      <c r="H23" s="42"/>
    </row>
    <row r="24" spans="1:9" ht="20.100000000000001" customHeight="1">
      <c r="A24" s="1017" t="s">
        <v>206</v>
      </c>
      <c r="B24" s="1017" t="s">
        <v>723</v>
      </c>
      <c r="C24" s="1111">
        <v>40360</v>
      </c>
      <c r="D24" s="1112">
        <v>0</v>
      </c>
      <c r="E24" s="1113">
        <f>+'EXHIBIT B'!C30</f>
        <v>236.69</v>
      </c>
      <c r="F24" s="1114">
        <f t="shared" si="2"/>
        <v>0</v>
      </c>
      <c r="G24" s="42"/>
      <c r="H24" s="42"/>
    </row>
    <row r="25" spans="1:9" ht="20.100000000000001" customHeight="1" thickBot="1">
      <c r="A25" s="373" t="s">
        <v>206</v>
      </c>
      <c r="B25" s="373" t="s">
        <v>704</v>
      </c>
      <c r="C25" s="1109" t="s">
        <v>705</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2764.29</v>
      </c>
      <c r="E27" s="677"/>
      <c r="F27" s="678">
        <f>SUM(F19:F25)</f>
        <v>654699</v>
      </c>
      <c r="G27" s="300"/>
      <c r="H27" s="300"/>
    </row>
    <row r="28" spans="1:9" ht="20.100000000000001" customHeight="1" thickBot="1">
      <c r="A28" s="301" t="s">
        <v>229</v>
      </c>
      <c r="B28" s="301"/>
      <c r="C28" s="301"/>
      <c r="D28" s="301"/>
      <c r="E28" s="301"/>
      <c r="F28" s="302"/>
      <c r="G28" s="520"/>
      <c r="H28" s="303">
        <f>H17+F27</f>
        <v>9290294</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440</v>
      </c>
      <c r="E34" s="679">
        <v>0</v>
      </c>
      <c r="F34" s="673">
        <f>D34-E34</f>
        <v>440</v>
      </c>
      <c r="G34" s="673">
        <f>'EXHIBIT B'!B20</f>
        <v>30</v>
      </c>
      <c r="H34" s="674">
        <f>ROUND(+F34*G34,0)</f>
        <v>13200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440</v>
      </c>
      <c r="E37" s="306">
        <f>SUM(E33:E36)</f>
        <v>0</v>
      </c>
      <c r="F37" s="307">
        <f>D37-E37</f>
        <v>440</v>
      </c>
      <c r="G37" s="307"/>
      <c r="H37" s="308">
        <f>SUM(H33:H36)</f>
        <v>13200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30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13200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9303494</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500000</v>
      </c>
      <c r="C55" s="1092" t="s">
        <v>792</v>
      </c>
      <c r="D55" s="1093"/>
      <c r="E55" s="934" t="s">
        <v>793</v>
      </c>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500000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200000</v>
      </c>
      <c r="C64" s="934" t="s">
        <v>794</v>
      </c>
      <c r="D64" s="935"/>
      <c r="E64" s="934" t="s">
        <v>792</v>
      </c>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200000</v>
      </c>
      <c r="C70" s="944"/>
      <c r="D70" s="945"/>
      <c r="E70" s="944"/>
      <c r="F70" s="945"/>
    </row>
    <row r="71" spans="1:6" ht="24.95" customHeight="1" thickBot="1">
      <c r="A71" s="280" t="s">
        <v>254</v>
      </c>
      <c r="B71" s="281">
        <f>+B70+B61</f>
        <v>700000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St. Johns River State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2"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zoomScale="90" zoomScaleNormal="90" zoomScaleSheetLayoutView="70" zoomScalePageLayoutView="70" workbookViewId="0">
      <selection activeCell="G260" sqref="G260"/>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St. Johns River State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754514</v>
      </c>
    </row>
    <row r="13" spans="1:8" ht="20.100000000000001" customHeight="1">
      <c r="A13" s="478" t="s">
        <v>191</v>
      </c>
      <c r="B13" s="176"/>
      <c r="C13" s="169" t="s">
        <v>123</v>
      </c>
      <c r="D13" s="176"/>
      <c r="E13" s="176"/>
      <c r="F13" s="180" t="s">
        <v>218</v>
      </c>
      <c r="G13" s="1146">
        <f>+'EXHIBIT C'!H11+'EXHIBIT C(2)'!E14</f>
        <v>5697767</v>
      </c>
    </row>
    <row r="14" spans="1:8" ht="20.100000000000001" customHeight="1">
      <c r="A14" s="478" t="s">
        <v>191</v>
      </c>
      <c r="B14" s="176"/>
      <c r="C14" s="176" t="s">
        <v>124</v>
      </c>
      <c r="D14" s="176"/>
      <c r="E14" s="176"/>
      <c r="F14" s="180" t="s">
        <v>219</v>
      </c>
      <c r="G14" s="1147">
        <f>+'EXHIBIT C'!H12+'EXHIBIT C(2)'!E15</f>
        <v>1873238</v>
      </c>
    </row>
    <row r="15" spans="1:8" ht="20.100000000000001" customHeight="1">
      <c r="A15" s="478" t="s">
        <v>191</v>
      </c>
      <c r="B15" s="176"/>
      <c r="C15" s="181" t="s">
        <v>271</v>
      </c>
      <c r="D15" s="176"/>
      <c r="E15" s="176"/>
      <c r="F15" s="180" t="s">
        <v>220</v>
      </c>
      <c r="G15" s="1147">
        <f>+'EXHIBIT C'!H13+'EXHIBIT C(2)'!E16</f>
        <v>258042</v>
      </c>
    </row>
    <row r="16" spans="1:8" ht="20.100000000000001" customHeight="1">
      <c r="A16" s="478" t="s">
        <v>191</v>
      </c>
      <c r="B16" s="176"/>
      <c r="C16" s="181" t="s">
        <v>272</v>
      </c>
      <c r="D16" s="176"/>
      <c r="E16" s="176"/>
      <c r="F16" s="180" t="s">
        <v>221</v>
      </c>
      <c r="G16" s="182">
        <f>+'EXHIBIT C'!H14+'EXHIBIT C(2)'!E17</f>
        <v>52034</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8635595</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21483</v>
      </c>
    </row>
    <row r="22" spans="1:7" ht="20.100000000000001" customHeight="1">
      <c r="A22" s="478" t="s">
        <v>206</v>
      </c>
      <c r="B22" s="176"/>
      <c r="C22" s="169" t="s">
        <v>123</v>
      </c>
      <c r="D22" s="176"/>
      <c r="E22" s="176"/>
      <c r="F22" s="180" t="s">
        <v>225</v>
      </c>
      <c r="G22" s="1148">
        <f>+'EXHIBIT C'!F20+'EXHIBIT C(2)'!E23</f>
        <v>468646</v>
      </c>
    </row>
    <row r="23" spans="1:7" ht="20.100000000000001" customHeight="1">
      <c r="A23" s="478" t="s">
        <v>206</v>
      </c>
      <c r="B23" s="176"/>
      <c r="C23" s="176" t="s">
        <v>124</v>
      </c>
      <c r="D23" s="176"/>
      <c r="E23" s="176"/>
      <c r="F23" s="180" t="s">
        <v>226</v>
      </c>
      <c r="G23" s="1149">
        <f>+'EXHIBIT C'!F21+'EXHIBIT C(2)'!E24</f>
        <v>106511</v>
      </c>
    </row>
    <row r="24" spans="1:7" ht="20.100000000000001" customHeight="1">
      <c r="A24" s="478" t="s">
        <v>206</v>
      </c>
      <c r="B24" s="176"/>
      <c r="C24" s="181" t="s">
        <v>271</v>
      </c>
      <c r="D24" s="176"/>
      <c r="E24" s="176"/>
      <c r="F24" s="180" t="s">
        <v>227</v>
      </c>
      <c r="G24" s="1149">
        <f>+'EXHIBIT C'!F22+'EXHIBIT C(2)'!E25</f>
        <v>58059</v>
      </c>
    </row>
    <row r="25" spans="1:7" ht="20.100000000000001" customHeight="1">
      <c r="A25" s="478" t="s">
        <v>206</v>
      </c>
      <c r="B25" s="176"/>
      <c r="C25" s="181" t="s">
        <v>272</v>
      </c>
      <c r="D25" s="176"/>
      <c r="E25" s="176"/>
      <c r="F25" s="180" t="s">
        <v>228</v>
      </c>
      <c r="G25" s="1149">
        <f>+'EXHIBIT C'!F23+'EXHIBIT C(2)'!E26</f>
        <v>0</v>
      </c>
    </row>
    <row r="26" spans="1:7" ht="20.100000000000001" customHeight="1">
      <c r="A26" s="478" t="s">
        <v>206</v>
      </c>
      <c r="B26" s="176"/>
      <c r="C26" s="169" t="s">
        <v>723</v>
      </c>
      <c r="D26" s="176"/>
      <c r="E26" s="176"/>
      <c r="F26" s="179">
        <v>40360</v>
      </c>
      <c r="G26" s="1149">
        <f>+'EXHIBIT C'!F24+'EXHIBIT C(2)'!E27</f>
        <v>0</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654699</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13200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13200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9303494</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68000</v>
      </c>
    </row>
    <row r="48" spans="1:7" ht="20.100000000000001" customHeight="1">
      <c r="A48" s="478" t="s">
        <v>284</v>
      </c>
      <c r="B48" s="187"/>
      <c r="C48" s="187"/>
      <c r="D48" s="187"/>
      <c r="E48" s="187"/>
      <c r="F48" s="188" t="s">
        <v>285</v>
      </c>
      <c r="G48" s="1150">
        <v>90000</v>
      </c>
    </row>
    <row r="49" spans="1:7" ht="20.100000000000001" customHeight="1">
      <c r="A49" s="478" t="s">
        <v>286</v>
      </c>
      <c r="C49" s="187"/>
      <c r="D49" s="187"/>
      <c r="E49" s="187"/>
      <c r="F49" s="188" t="s">
        <v>287</v>
      </c>
      <c r="G49" s="1150">
        <v>206000</v>
      </c>
    </row>
    <row r="50" spans="1:7" ht="20.100000000000001" customHeight="1">
      <c r="A50" s="478" t="s">
        <v>288</v>
      </c>
      <c r="B50" s="176"/>
      <c r="C50" s="176"/>
      <c r="D50" s="176"/>
      <c r="E50" s="176"/>
      <c r="F50" s="180" t="s">
        <v>289</v>
      </c>
      <c r="G50" s="1150">
        <v>2000</v>
      </c>
    </row>
    <row r="51" spans="1:7" ht="20.100000000000001" customHeight="1">
      <c r="A51" s="478" t="s">
        <v>713</v>
      </c>
      <c r="B51" s="176"/>
      <c r="C51" s="176"/>
      <c r="D51" s="176"/>
      <c r="E51" s="176"/>
      <c r="F51" s="195">
        <v>40280</v>
      </c>
      <c r="G51" s="1150">
        <v>2275000</v>
      </c>
    </row>
    <row r="52" spans="1:7" ht="20.100000000000001" customHeight="1">
      <c r="A52" s="478" t="s">
        <v>290</v>
      </c>
      <c r="B52" s="176"/>
      <c r="C52" s="176"/>
      <c r="D52" s="176"/>
      <c r="E52" s="176"/>
      <c r="F52" s="180" t="s">
        <v>291</v>
      </c>
      <c r="G52" s="1150">
        <v>477000</v>
      </c>
    </row>
    <row r="53" spans="1:7" ht="20.100000000000001" customHeight="1">
      <c r="A53" s="478" t="s">
        <v>292</v>
      </c>
      <c r="B53" s="176"/>
      <c r="C53" s="176"/>
      <c r="D53" s="176"/>
      <c r="E53" s="176"/>
      <c r="F53" s="179">
        <v>40450</v>
      </c>
      <c r="G53" s="1150">
        <v>806000</v>
      </c>
    </row>
    <row r="54" spans="1:7" ht="20.100000000000001" customHeight="1">
      <c r="A54" s="478" t="s">
        <v>293</v>
      </c>
      <c r="B54" s="176"/>
      <c r="C54" s="176"/>
      <c r="D54" s="176"/>
      <c r="E54" s="176"/>
      <c r="F54" s="180" t="s">
        <v>294</v>
      </c>
      <c r="G54" s="1150">
        <v>140000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1000</v>
      </c>
    </row>
    <row r="58" spans="1:7" ht="20.100000000000001" customHeight="1">
      <c r="A58" s="478" t="s">
        <v>301</v>
      </c>
      <c r="B58" s="176"/>
      <c r="C58" s="176"/>
      <c r="D58" s="176"/>
      <c r="E58" s="176"/>
      <c r="F58" s="180" t="s">
        <v>302</v>
      </c>
      <c r="G58" s="1150">
        <v>13000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464351</v>
      </c>
    </row>
    <row r="61" spans="1:7" ht="20.100000000000001" customHeight="1">
      <c r="A61" s="478" t="s">
        <v>307</v>
      </c>
      <c r="B61" s="176"/>
      <c r="C61" s="176"/>
      <c r="D61" s="176"/>
      <c r="E61" s="176"/>
      <c r="F61" s="180" t="s">
        <v>308</v>
      </c>
      <c r="G61" s="1150">
        <v>417000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69000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14331845</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32205772</v>
      </c>
    </row>
    <row r="78" spans="1:7" ht="20.100000000000001" customHeight="1">
      <c r="A78" s="478" t="s">
        <v>681</v>
      </c>
      <c r="B78" s="176"/>
      <c r="C78" s="176"/>
      <c r="D78" s="176"/>
      <c r="E78" s="176"/>
      <c r="F78" s="179">
        <v>42130</v>
      </c>
      <c r="G78" s="1152">
        <v>1585072</v>
      </c>
    </row>
    <row r="79" spans="1:7" ht="20.100000000000001" customHeight="1">
      <c r="A79" s="480" t="s">
        <v>325</v>
      </c>
      <c r="B79" s="481"/>
      <c r="C79" s="481"/>
      <c r="D79" s="481"/>
      <c r="E79" s="481"/>
      <c r="F79" s="191" t="s">
        <v>326</v>
      </c>
      <c r="G79" s="1150">
        <v>348815</v>
      </c>
    </row>
    <row r="80" spans="1:7" ht="20.100000000000001" customHeight="1">
      <c r="A80" s="478" t="s">
        <v>327</v>
      </c>
      <c r="B80" s="176"/>
      <c r="C80" s="176"/>
      <c r="D80" s="176"/>
      <c r="E80" s="176"/>
      <c r="F80" s="180" t="s">
        <v>328</v>
      </c>
      <c r="G80" s="1152">
        <v>2500</v>
      </c>
    </row>
    <row r="81" spans="1:10" ht="20.100000000000001" customHeight="1">
      <c r="A81" s="478" t="s">
        <v>696</v>
      </c>
      <c r="B81" s="176"/>
      <c r="C81" s="176"/>
      <c r="D81" s="176"/>
      <c r="E81" s="176"/>
      <c r="F81" s="180" t="s">
        <v>329</v>
      </c>
      <c r="G81" s="1152">
        <v>363000</v>
      </c>
    </row>
    <row r="82" spans="1:10" ht="20.100000000000001" customHeight="1">
      <c r="A82" s="478" t="s">
        <v>330</v>
      </c>
      <c r="B82" s="176"/>
      <c r="C82" s="176"/>
      <c r="D82" s="176"/>
      <c r="E82" s="176"/>
      <c r="F82" s="180" t="s">
        <v>331</v>
      </c>
      <c r="G82" s="1151">
        <f>'CHECK SHEET'!D86</f>
        <v>4092028</v>
      </c>
    </row>
    <row r="83" spans="1:10" ht="20.100000000000001" customHeight="1">
      <c r="A83" s="482" t="s">
        <v>332</v>
      </c>
      <c r="B83" s="483"/>
      <c r="C83" s="483"/>
      <c r="D83" s="483"/>
      <c r="E83" s="483"/>
      <c r="F83" s="190" t="s">
        <v>333</v>
      </c>
      <c r="G83" s="1152">
        <v>0</v>
      </c>
    </row>
    <row r="84" spans="1:10" ht="20.100000000000001" customHeight="1">
      <c r="A84" s="478" t="s">
        <v>334</v>
      </c>
      <c r="B84" s="176"/>
      <c r="C84" s="176"/>
      <c r="D84" s="176"/>
      <c r="E84" s="176"/>
      <c r="F84" s="180" t="s">
        <v>335</v>
      </c>
      <c r="G84" s="1152">
        <v>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38597187</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13000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13000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716</v>
      </c>
      <c r="B111" s="176"/>
      <c r="C111" s="176"/>
      <c r="D111" s="176"/>
      <c r="E111" s="176"/>
      <c r="F111" s="180" t="s">
        <v>356</v>
      </c>
      <c r="G111" s="432">
        <v>0</v>
      </c>
    </row>
    <row r="112" spans="1:7" ht="20.100000000000001" customHeight="1">
      <c r="A112" s="478" t="s">
        <v>357</v>
      </c>
      <c r="B112" s="176"/>
      <c r="C112" s="176"/>
      <c r="D112" s="176"/>
      <c r="E112" s="176"/>
      <c r="F112" s="180" t="s">
        <v>358</v>
      </c>
      <c r="G112" s="432">
        <v>19000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19000</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1177000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800</v>
      </c>
    </row>
    <row r="127" spans="1:7" ht="20.100000000000001" customHeight="1">
      <c r="A127" s="478" t="s">
        <v>718</v>
      </c>
      <c r="B127" s="176"/>
      <c r="C127" s="176"/>
      <c r="D127" s="176"/>
      <c r="E127" s="176"/>
      <c r="F127" s="180" t="s">
        <v>373</v>
      </c>
      <c r="G127" s="432">
        <v>40000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1217800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200000</v>
      </c>
    </row>
    <row r="135" spans="1:7" ht="20.100000000000001" customHeight="1">
      <c r="A135" s="478" t="s">
        <v>719</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200000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54378832</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1015781</v>
      </c>
    </row>
    <row r="148" spans="1:7" ht="20.100000000000001" customHeight="1">
      <c r="A148" s="478" t="s">
        <v>389</v>
      </c>
      <c r="F148" s="180" t="s">
        <v>390</v>
      </c>
      <c r="G148" s="434">
        <v>1334301</v>
      </c>
    </row>
    <row r="149" spans="1:7" ht="20.100000000000001" customHeight="1">
      <c r="A149" s="478" t="s">
        <v>391</v>
      </c>
      <c r="F149" s="180" t="s">
        <v>392</v>
      </c>
      <c r="G149" s="434">
        <v>1977709</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9369659</v>
      </c>
    </row>
    <row r="153" spans="1:7" ht="20.100000000000001" customHeight="1">
      <c r="A153" s="478" t="s">
        <v>399</v>
      </c>
      <c r="B153" s="176"/>
      <c r="C153" s="176"/>
      <c r="D153" s="176"/>
      <c r="E153" s="176"/>
      <c r="F153" s="180" t="s">
        <v>400</v>
      </c>
      <c r="G153" s="434">
        <v>1736935</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2936023</v>
      </c>
    </row>
    <row r="163" spans="1:7" ht="20.100000000000001" customHeight="1">
      <c r="A163" s="478" t="s">
        <v>418</v>
      </c>
      <c r="B163" s="176"/>
      <c r="C163" s="176"/>
      <c r="D163" s="176"/>
      <c r="E163" s="176"/>
      <c r="F163" s="180" t="s">
        <v>419</v>
      </c>
      <c r="G163" s="434">
        <v>218550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4665562</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2503930</v>
      </c>
    </row>
    <row r="168" spans="1:7" ht="20.100000000000001" customHeight="1">
      <c r="A168" s="478" t="s">
        <v>428</v>
      </c>
      <c r="B168" s="176"/>
      <c r="C168" s="176"/>
      <c r="D168" s="176"/>
      <c r="E168" s="176"/>
      <c r="F168" s="180" t="s">
        <v>429</v>
      </c>
      <c r="G168" s="434">
        <v>12000</v>
      </c>
    </row>
    <row r="169" spans="1:7" ht="20.100000000000001" customHeight="1">
      <c r="A169" s="478" t="s">
        <v>430</v>
      </c>
      <c r="B169" s="176"/>
      <c r="C169" s="176"/>
      <c r="D169" s="176"/>
      <c r="E169" s="176"/>
      <c r="F169" s="180" t="s">
        <v>431</v>
      </c>
      <c r="G169" s="434">
        <v>276619</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1789535</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170976</v>
      </c>
    </row>
    <row r="178" spans="1:7" ht="20.100000000000001" customHeight="1">
      <c r="A178" s="478" t="s">
        <v>445</v>
      </c>
      <c r="B178" s="176"/>
      <c r="C178" s="176"/>
      <c r="D178" s="176"/>
      <c r="E178" s="176"/>
      <c r="F178" s="180" t="s">
        <v>446</v>
      </c>
      <c r="G178" s="434">
        <v>49360</v>
      </c>
    </row>
    <row r="179" spans="1:7" ht="20.100000000000001" customHeight="1">
      <c r="A179" s="478" t="s">
        <v>447</v>
      </c>
      <c r="B179" s="176"/>
      <c r="C179" s="176"/>
      <c r="D179" s="176"/>
      <c r="E179" s="176"/>
      <c r="F179" s="180" t="s">
        <v>448</v>
      </c>
      <c r="G179" s="434">
        <v>2000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153000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2029986</v>
      </c>
    </row>
    <row r="185" spans="1:7" ht="20.100000000000001" customHeight="1">
      <c r="A185" s="478" t="s">
        <v>459</v>
      </c>
      <c r="B185" s="176"/>
      <c r="C185" s="176"/>
      <c r="D185" s="176"/>
      <c r="E185" s="176"/>
      <c r="F185" s="180" t="s">
        <v>460</v>
      </c>
      <c r="G185" s="434">
        <v>4143563</v>
      </c>
    </row>
    <row r="186" spans="1:7" ht="20.100000000000001" customHeight="1">
      <c r="A186" s="478" t="s">
        <v>461</v>
      </c>
      <c r="B186" s="176"/>
      <c r="C186" s="176"/>
      <c r="D186" s="176"/>
      <c r="E186" s="176"/>
      <c r="F186" s="180" t="s">
        <v>462</v>
      </c>
      <c r="G186" s="434">
        <v>550000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7500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6387116</v>
      </c>
    </row>
    <row r="191" spans="1:7" ht="20.100000000000001" customHeight="1">
      <c r="A191" s="478" t="s">
        <v>720</v>
      </c>
      <c r="B191" s="176"/>
      <c r="C191" s="176"/>
      <c r="D191" s="176"/>
      <c r="E191" s="176"/>
      <c r="F191" s="180" t="s">
        <v>471</v>
      </c>
      <c r="G191" s="434">
        <v>0</v>
      </c>
    </row>
    <row r="192" spans="1:7" ht="20.100000000000001" customHeight="1">
      <c r="A192" s="478" t="s">
        <v>472</v>
      </c>
      <c r="B192" s="176"/>
      <c r="C192" s="176"/>
      <c r="D192" s="176"/>
      <c r="E192" s="176"/>
      <c r="F192" s="180" t="s">
        <v>473</v>
      </c>
      <c r="G192" s="434">
        <v>218415</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41548520</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451212</v>
      </c>
    </row>
    <row r="199" spans="1:7" ht="20.100000000000001" customHeight="1">
      <c r="A199" s="478" t="s">
        <v>478</v>
      </c>
      <c r="B199" s="176"/>
      <c r="C199" s="176"/>
      <c r="D199" s="176"/>
      <c r="E199" s="176"/>
      <c r="F199" s="180" t="s">
        <v>479</v>
      </c>
      <c r="G199" s="434">
        <v>44747</v>
      </c>
    </row>
    <row r="200" spans="1:7" ht="20.100000000000001" customHeight="1">
      <c r="A200" s="478" t="s">
        <v>480</v>
      </c>
      <c r="B200" s="176"/>
      <c r="C200" s="176"/>
      <c r="D200" s="176"/>
      <c r="E200" s="176"/>
      <c r="F200" s="180" t="s">
        <v>481</v>
      </c>
      <c r="G200" s="434">
        <v>158557</v>
      </c>
    </row>
    <row r="201" spans="1:7" ht="20.100000000000001" customHeight="1">
      <c r="A201" s="478" t="s">
        <v>482</v>
      </c>
      <c r="B201" s="176"/>
      <c r="C201" s="176"/>
      <c r="D201" s="176"/>
      <c r="E201" s="176"/>
      <c r="F201" s="180" t="s">
        <v>483</v>
      </c>
      <c r="G201" s="434">
        <v>68923</v>
      </c>
    </row>
    <row r="202" spans="1:7" ht="20.100000000000001" customHeight="1">
      <c r="A202" s="478" t="s">
        <v>484</v>
      </c>
      <c r="B202" s="176"/>
      <c r="C202" s="176"/>
      <c r="D202" s="176"/>
      <c r="E202" s="176"/>
      <c r="F202" s="180" t="s">
        <v>485</v>
      </c>
      <c r="G202" s="434">
        <v>1413433</v>
      </c>
    </row>
    <row r="203" spans="1:7" ht="20.100000000000001" customHeight="1">
      <c r="A203" s="478" t="s">
        <v>721</v>
      </c>
      <c r="B203" s="176"/>
      <c r="C203" s="176"/>
      <c r="D203" s="176"/>
      <c r="E203" s="176"/>
      <c r="F203" s="180" t="s">
        <v>487</v>
      </c>
      <c r="G203" s="434">
        <v>51131</v>
      </c>
    </row>
    <row r="204" spans="1:7" ht="20.100000000000001" customHeight="1">
      <c r="A204" s="478" t="s">
        <v>675</v>
      </c>
      <c r="B204" s="176"/>
      <c r="C204" s="176"/>
      <c r="D204" s="176"/>
      <c r="E204" s="176"/>
      <c r="F204" s="970">
        <v>63100</v>
      </c>
      <c r="G204" s="434">
        <v>84494</v>
      </c>
    </row>
    <row r="205" spans="1:7" ht="20.100000000000001" customHeight="1">
      <c r="A205" s="478" t="s">
        <v>488</v>
      </c>
      <c r="B205" s="176"/>
      <c r="C205" s="176"/>
      <c r="D205" s="176"/>
      <c r="E205" s="176"/>
      <c r="F205" s="180" t="s">
        <v>489</v>
      </c>
      <c r="G205" s="434">
        <v>961625</v>
      </c>
    </row>
    <row r="206" spans="1:7" ht="20.100000000000001" customHeight="1">
      <c r="A206" s="478" t="s">
        <v>490</v>
      </c>
      <c r="B206" s="176"/>
      <c r="C206" s="176"/>
      <c r="D206" s="176"/>
      <c r="E206" s="176"/>
      <c r="F206" s="180" t="s">
        <v>491</v>
      </c>
      <c r="G206" s="434">
        <v>1273800</v>
      </c>
    </row>
    <row r="207" spans="1:7" ht="20.100000000000001" customHeight="1">
      <c r="A207" s="478" t="s">
        <v>492</v>
      </c>
      <c r="B207" s="176"/>
      <c r="C207" s="176"/>
      <c r="D207" s="176"/>
      <c r="E207" s="176"/>
      <c r="F207" s="180" t="s">
        <v>493</v>
      </c>
      <c r="G207" s="434">
        <v>2560849</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309694</v>
      </c>
    </row>
    <row r="211" spans="1:9" ht="20.100000000000001" customHeight="1">
      <c r="A211" s="478" t="s">
        <v>499</v>
      </c>
      <c r="B211" s="176"/>
      <c r="C211" s="176"/>
      <c r="D211" s="176"/>
      <c r="E211" s="176"/>
      <c r="F211" s="180" t="s">
        <v>500</v>
      </c>
      <c r="G211" s="434">
        <v>434716</v>
      </c>
    </row>
    <row r="212" spans="1:9" ht="20.100000000000001" customHeight="1">
      <c r="A212" s="478" t="s">
        <v>501</v>
      </c>
      <c r="F212" s="195" t="s">
        <v>502</v>
      </c>
      <c r="G212" s="434">
        <v>1474311</v>
      </c>
    </row>
    <row r="213" spans="1:9" ht="20.100000000000001" customHeight="1">
      <c r="A213" s="478" t="s">
        <v>503</v>
      </c>
      <c r="B213" s="176"/>
      <c r="C213" s="176"/>
      <c r="D213" s="176"/>
      <c r="E213" s="176"/>
      <c r="F213" s="180" t="s">
        <v>504</v>
      </c>
      <c r="G213" s="434">
        <v>287532</v>
      </c>
    </row>
    <row r="214" spans="1:9" ht="20.100000000000001" customHeight="1">
      <c r="A214" s="478" t="s">
        <v>505</v>
      </c>
      <c r="B214" s="176"/>
      <c r="C214" s="176"/>
      <c r="D214" s="176"/>
      <c r="E214" s="176"/>
      <c r="F214" s="180" t="s">
        <v>506</v>
      </c>
      <c r="G214" s="434">
        <v>178549</v>
      </c>
    </row>
    <row r="215" spans="1:9" ht="20.100000000000001" customHeight="1">
      <c r="A215" s="478" t="s">
        <v>507</v>
      </c>
      <c r="B215" s="176"/>
      <c r="C215" s="176"/>
      <c r="D215" s="176"/>
      <c r="E215" s="176"/>
      <c r="F215" s="180" t="s">
        <v>508</v>
      </c>
      <c r="G215" s="434">
        <v>191850</v>
      </c>
    </row>
    <row r="216" spans="1:9" ht="20.100000000000001" customHeight="1">
      <c r="A216" s="478" t="s">
        <v>722</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800000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6">
        <v>69100</v>
      </c>
      <c r="G222" s="434">
        <v>0</v>
      </c>
    </row>
    <row r="223" spans="1:9" ht="20.100000000000001" customHeight="1">
      <c r="A223" s="489" t="s">
        <v>685</v>
      </c>
      <c r="B223" s="202"/>
      <c r="C223" s="202"/>
      <c r="D223" s="203"/>
      <c r="E223" s="202"/>
      <c r="F223" s="1055">
        <v>69200</v>
      </c>
      <c r="G223" s="434">
        <v>500000</v>
      </c>
    </row>
    <row r="224" spans="1:9" ht="20.100000000000001" customHeight="1">
      <c r="A224" s="478" t="s">
        <v>520</v>
      </c>
      <c r="B224" s="176"/>
      <c r="C224" s="176"/>
      <c r="D224" s="176"/>
      <c r="E224" s="176"/>
      <c r="F224" s="180" t="s">
        <v>521</v>
      </c>
      <c r="G224" s="434">
        <v>121450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225000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11591873</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200000</v>
      </c>
    </row>
    <row r="234" spans="1:7" ht="20.100000000000001" customHeight="1">
      <c r="A234" s="478" t="s">
        <v>531</v>
      </c>
      <c r="B234" s="176"/>
      <c r="C234" s="176"/>
      <c r="D234" s="176"/>
      <c r="E234" s="176"/>
      <c r="F234" s="180" t="s">
        <v>532</v>
      </c>
      <c r="G234" s="434">
        <v>514684</v>
      </c>
    </row>
    <row r="235" spans="1:7" ht="20.100000000000001" customHeight="1">
      <c r="A235" s="478" t="s">
        <v>533</v>
      </c>
      <c r="B235" s="176"/>
      <c r="C235" s="176"/>
      <c r="D235" s="176"/>
      <c r="E235" s="176"/>
      <c r="F235" s="1012" t="s">
        <v>534</v>
      </c>
      <c r="G235" s="434">
        <v>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4500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100000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819184</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53959577</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19784153</v>
      </c>
    </row>
    <row r="260" spans="1:12" ht="20.100000000000001" customHeight="1">
      <c r="A260" s="478" t="s">
        <v>556</v>
      </c>
      <c r="B260" s="176"/>
      <c r="C260" s="176"/>
      <c r="D260" s="176"/>
      <c r="E260" s="176"/>
      <c r="F260" s="189">
        <v>31100</v>
      </c>
      <c r="G260" s="581">
        <v>3881249</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23665402</v>
      </c>
    </row>
    <row r="263" spans="1:12" ht="20.100000000000001" customHeight="1">
      <c r="A263" s="479"/>
      <c r="B263" s="176"/>
      <c r="C263" s="176"/>
      <c r="D263" s="176"/>
      <c r="E263" s="176"/>
      <c r="F263" s="189"/>
      <c r="G263" s="205"/>
    </row>
    <row r="264" spans="1:12" ht="20.100000000000001" customHeight="1" thickBot="1">
      <c r="A264" s="490" t="s">
        <v>747</v>
      </c>
      <c r="F264" s="195">
        <v>30800</v>
      </c>
      <c r="G264" s="1159">
        <v>-39744988</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-16079586</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3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B245:H245 B244:F244 H244"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B11" sqref="B11"/>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St. Johns River State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19681298</v>
      </c>
      <c r="C10" s="436">
        <v>1934633</v>
      </c>
      <c r="D10" s="436">
        <v>576785</v>
      </c>
      <c r="E10" s="359">
        <f>SUM(B10:D10)</f>
        <v>22192716</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535422</v>
      </c>
      <c r="C12" s="430">
        <v>151426</v>
      </c>
      <c r="D12" s="430">
        <v>0</v>
      </c>
      <c r="E12" s="360">
        <f>SUM(B12:D12)</f>
        <v>686848</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4558710</v>
      </c>
      <c r="C14" s="438">
        <v>638810</v>
      </c>
      <c r="D14" s="438">
        <v>0</v>
      </c>
      <c r="E14" s="360">
        <f t="shared" ref="E14:E20" si="0">SUM(B14:D14)</f>
        <v>5197520</v>
      </c>
      <c r="F14" s="342"/>
    </row>
    <row r="15" spans="1:8" s="11" customFormat="1" ht="20.100000000000001" customHeight="1">
      <c r="A15" s="358" t="s">
        <v>572</v>
      </c>
      <c r="B15" s="437">
        <v>0</v>
      </c>
      <c r="C15" s="430">
        <v>0</v>
      </c>
      <c r="D15" s="430">
        <v>0</v>
      </c>
      <c r="E15" s="360">
        <f>SUM(B15:D15)</f>
        <v>0</v>
      </c>
      <c r="F15" s="342"/>
    </row>
    <row r="16" spans="1:8" s="11" customFormat="1" ht="20.100000000000001" customHeight="1">
      <c r="A16" s="358" t="s">
        <v>573</v>
      </c>
      <c r="B16" s="437">
        <v>5151975</v>
      </c>
      <c r="C16" s="430">
        <v>397158</v>
      </c>
      <c r="D16" s="430">
        <v>4500</v>
      </c>
      <c r="E16" s="360">
        <f t="shared" si="0"/>
        <v>5553633</v>
      </c>
      <c r="F16" s="342"/>
    </row>
    <row r="17" spans="1:6" s="11" customFormat="1" ht="20.100000000000001" customHeight="1">
      <c r="A17" s="358" t="s">
        <v>574</v>
      </c>
      <c r="B17" s="437">
        <v>7615967</v>
      </c>
      <c r="C17" s="430">
        <v>2783318</v>
      </c>
      <c r="D17" s="430">
        <v>200000</v>
      </c>
      <c r="E17" s="360">
        <f t="shared" si="0"/>
        <v>10599285</v>
      </c>
      <c r="F17" s="342"/>
    </row>
    <row r="18" spans="1:6" s="11" customFormat="1" ht="20.100000000000001" customHeight="1">
      <c r="A18" s="358" t="s">
        <v>575</v>
      </c>
      <c r="B18" s="437">
        <v>3081514</v>
      </c>
      <c r="C18" s="430">
        <v>4961528</v>
      </c>
      <c r="D18" s="430">
        <v>37899</v>
      </c>
      <c r="E18" s="360">
        <f t="shared" si="0"/>
        <v>8080941</v>
      </c>
      <c r="F18" s="342"/>
    </row>
    <row r="19" spans="1:6" s="11" customFormat="1" ht="20.100000000000001" customHeight="1">
      <c r="A19" s="358" t="s">
        <v>576</v>
      </c>
      <c r="B19" s="437">
        <v>155219</v>
      </c>
      <c r="C19" s="430">
        <v>0</v>
      </c>
      <c r="D19" s="430">
        <v>0</v>
      </c>
      <c r="E19" s="360">
        <f t="shared" si="0"/>
        <v>155219</v>
      </c>
      <c r="F19" s="342"/>
    </row>
    <row r="20" spans="1:6" s="11" customFormat="1" ht="20.100000000000001" customHeight="1" thickBot="1">
      <c r="A20" s="358" t="s">
        <v>577</v>
      </c>
      <c r="B20" s="437">
        <v>768415</v>
      </c>
      <c r="C20" s="431">
        <v>725000</v>
      </c>
      <c r="D20" s="431">
        <v>0</v>
      </c>
      <c r="E20" s="360">
        <f t="shared" si="0"/>
        <v>1493415</v>
      </c>
      <c r="F20" s="342"/>
    </row>
    <row r="21" spans="1:6" s="11" customFormat="1" ht="24" customHeight="1" thickBot="1">
      <c r="A21" s="283" t="s">
        <v>47</v>
      </c>
      <c r="B21" s="343">
        <f>SUM(B10:B20)</f>
        <v>41548520</v>
      </c>
      <c r="C21" s="346">
        <f>SUM(C10:C20)</f>
        <v>11591873</v>
      </c>
      <c r="D21" s="346">
        <f>SUM(D10:D20)</f>
        <v>819184</v>
      </c>
      <c r="E21" s="345">
        <f>SUM(E10:E20)</f>
        <v>53959577</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80" zoomScaleNormal="80" zoomScaleSheetLayoutView="50" zoomScalePageLayoutView="60" workbookViewId="0">
      <selection activeCell="D79" sqref="D79"/>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St. Johns River State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95133</v>
      </c>
      <c r="E11" s="724">
        <v>0</v>
      </c>
      <c r="F11" s="725">
        <f t="shared" si="0"/>
        <v>95133</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577151</v>
      </c>
      <c r="E15" s="724">
        <v>0</v>
      </c>
      <c r="F15" s="725">
        <f t="shared" si="0"/>
        <v>577151</v>
      </c>
      <c r="I15" s="82"/>
      <c r="J15" s="23"/>
      <c r="K15" s="87"/>
      <c r="L15" s="87"/>
      <c r="M15" s="87"/>
      <c r="N15" s="87"/>
    </row>
    <row r="16" spans="1:224" s="11" customFormat="1" ht="30" customHeight="1">
      <c r="A16" s="721" t="s">
        <v>399</v>
      </c>
      <c r="B16" s="722"/>
      <c r="C16" s="723" t="s">
        <v>400</v>
      </c>
      <c r="D16" s="724">
        <v>201300</v>
      </c>
      <c r="E16" s="724">
        <v>0</v>
      </c>
      <c r="F16" s="725">
        <f t="shared" si="0"/>
        <v>201300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16800</v>
      </c>
      <c r="E26" s="724">
        <v>0</v>
      </c>
      <c r="F26" s="725">
        <f t="shared" si="0"/>
        <v>16800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58097</v>
      </c>
      <c r="E28" s="724">
        <v>0</v>
      </c>
      <c r="F28" s="725">
        <f t="shared" si="0"/>
        <v>58097</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48023</v>
      </c>
      <c r="E30" s="724">
        <v>0</v>
      </c>
      <c r="F30" s="725">
        <f t="shared" si="0"/>
        <v>48023</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80120</v>
      </c>
      <c r="E34" s="724">
        <v>0</v>
      </c>
      <c r="F34" s="725">
        <f t="shared" si="0"/>
        <v>80120</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77394</v>
      </c>
      <c r="E47" s="724">
        <v>0</v>
      </c>
      <c r="F47" s="725">
        <f t="shared" si="0"/>
        <v>77394</v>
      </c>
    </row>
    <row r="48" spans="1:6" s="11" customFormat="1" ht="30" customHeight="1">
      <c r="A48" s="721" t="s">
        <v>459</v>
      </c>
      <c r="B48" s="722"/>
      <c r="C48" s="723" t="s">
        <v>460</v>
      </c>
      <c r="D48" s="724">
        <v>123504</v>
      </c>
      <c r="E48" s="724">
        <v>0</v>
      </c>
      <c r="F48" s="725">
        <f t="shared" si="0"/>
        <v>123504</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210253</v>
      </c>
      <c r="E53" s="724">
        <v>0</v>
      </c>
      <c r="F53" s="725">
        <f t="shared" si="0"/>
        <v>210253</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1487775</v>
      </c>
      <c r="E56" s="258">
        <f>SUM(E10:E55)</f>
        <v>0</v>
      </c>
      <c r="F56" s="258">
        <f t="shared" si="0"/>
        <v>1487775</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10421</v>
      </c>
      <c r="E63" s="439">
        <v>0</v>
      </c>
      <c r="F63" s="224">
        <f t="shared" si="0"/>
        <v>10421</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409</v>
      </c>
      <c r="E66" s="724">
        <v>0</v>
      </c>
      <c r="F66" s="725">
        <f t="shared" si="0"/>
        <v>409</v>
      </c>
    </row>
    <row r="67" spans="1:6" s="11" customFormat="1" ht="30" customHeight="1">
      <c r="A67" s="721" t="s">
        <v>589</v>
      </c>
      <c r="B67" s="722"/>
      <c r="C67" s="731" t="s">
        <v>485</v>
      </c>
      <c r="D67" s="724">
        <v>248</v>
      </c>
      <c r="E67" s="724">
        <v>0</v>
      </c>
      <c r="F67" s="725">
        <f t="shared" si="0"/>
        <v>248</v>
      </c>
    </row>
    <row r="68" spans="1:6" s="11" customFormat="1" ht="30" customHeight="1">
      <c r="A68" s="721" t="s">
        <v>486</v>
      </c>
      <c r="B68" s="722"/>
      <c r="C68" s="731" t="s">
        <v>487</v>
      </c>
      <c r="D68" s="724">
        <v>0</v>
      </c>
      <c r="E68" s="724">
        <v>0</v>
      </c>
      <c r="F68" s="725">
        <f t="shared" si="0"/>
        <v>0</v>
      </c>
    </row>
    <row r="69" spans="1:6" s="11" customFormat="1" ht="30" customHeight="1">
      <c r="A69" s="982" t="s">
        <v>675</v>
      </c>
      <c r="B69" s="722"/>
      <c r="C69" s="979">
        <v>63100</v>
      </c>
      <c r="D69" s="980">
        <v>877</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686</v>
      </c>
      <c r="B71" s="722"/>
      <c r="C71" s="731" t="s">
        <v>491</v>
      </c>
      <c r="D71" s="724">
        <v>0</v>
      </c>
      <c r="E71" s="724">
        <v>0</v>
      </c>
      <c r="F71" s="725">
        <f t="shared" si="0"/>
        <v>0</v>
      </c>
    </row>
    <row r="72" spans="1:6" s="11" customFormat="1" ht="30" customHeight="1">
      <c r="A72" s="721" t="s">
        <v>492</v>
      </c>
      <c r="B72" s="722"/>
      <c r="C72" s="731" t="s">
        <v>493</v>
      </c>
      <c r="D72" s="724">
        <v>4655</v>
      </c>
      <c r="E72" s="724">
        <v>0</v>
      </c>
      <c r="F72" s="725">
        <f t="shared" si="0"/>
        <v>4655</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3100</v>
      </c>
      <c r="E75" s="724">
        <v>0</v>
      </c>
      <c r="F75" s="725">
        <f t="shared" si="1"/>
        <v>3100</v>
      </c>
    </row>
    <row r="76" spans="1:6" s="11" customFormat="1" ht="30" customHeight="1">
      <c r="A76" s="721" t="s">
        <v>499</v>
      </c>
      <c r="B76" s="722"/>
      <c r="C76" s="731" t="s">
        <v>500</v>
      </c>
      <c r="D76" s="724">
        <v>3137</v>
      </c>
      <c r="E76" s="724">
        <v>0</v>
      </c>
      <c r="F76" s="725">
        <f t="shared" si="1"/>
        <v>3137</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167</v>
      </c>
      <c r="E79" s="724">
        <v>0</v>
      </c>
      <c r="F79" s="725">
        <f t="shared" si="1"/>
        <v>167</v>
      </c>
    </row>
    <row r="80" spans="1:6" s="11" customFormat="1" ht="30" customHeight="1">
      <c r="A80" s="721" t="s">
        <v>507</v>
      </c>
      <c r="B80" s="722"/>
      <c r="C80" s="731" t="s">
        <v>508</v>
      </c>
      <c r="D80" s="724">
        <v>0</v>
      </c>
      <c r="E80" s="724">
        <v>0</v>
      </c>
      <c r="F80" s="725">
        <f t="shared" ref="F80:F85" si="2">+D80+E80</f>
        <v>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23014</v>
      </c>
      <c r="E92" s="254">
        <f>SUM(E63:E91)</f>
        <v>0</v>
      </c>
      <c r="F92" s="254">
        <f t="shared" si="1"/>
        <v>23014</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1510789</v>
      </c>
      <c r="E112" s="254">
        <f>+E56+E92+E110</f>
        <v>0</v>
      </c>
      <c r="F112" s="254">
        <f>SUM(D112:E112)</f>
        <v>1510789</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754514</v>
      </c>
      <c r="E117" s="724">
        <v>0</v>
      </c>
      <c r="F117" s="725">
        <f t="shared" ref="F117:F127" si="3">+D117+E117</f>
        <v>754514</v>
      </c>
    </row>
    <row r="118" spans="1:6" s="63" customFormat="1" ht="30" customHeight="1">
      <c r="A118" s="721" t="s">
        <v>598</v>
      </c>
      <c r="B118" s="574"/>
      <c r="C118" s="733"/>
      <c r="D118" s="1039">
        <f>'EXHIBIT C'!F19</f>
        <v>21483</v>
      </c>
      <c r="E118" s="724">
        <v>0</v>
      </c>
      <c r="F118" s="725">
        <f t="shared" si="3"/>
        <v>21483</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v>734792</v>
      </c>
      <c r="E122" s="724">
        <v>0</v>
      </c>
      <c r="F122" s="725">
        <f t="shared" si="3"/>
        <v>734792</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1510789</v>
      </c>
      <c r="E128" s="248">
        <f>SUM(E116:E127)</f>
        <v>0</v>
      </c>
      <c r="F128" s="249">
        <f>SUM(F116:F127)</f>
        <v>1510789</v>
      </c>
    </row>
    <row r="129" spans="1:6" ht="14.1" customHeight="1">
      <c r="A129" s="237"/>
      <c r="B129" s="237"/>
      <c r="C129" s="238"/>
      <c r="D129" s="239"/>
      <c r="E129" s="239"/>
      <c r="F129" s="239"/>
    </row>
    <row r="130" spans="1:6" ht="83.25" customHeight="1">
      <c r="A130" s="898" t="s">
        <v>749</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2.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2026-06-25T19:41:16Z</cp:lastPrinted>
  <dcterms:created xsi:type="dcterms:W3CDTF">2005-03-22T15:46:43Z</dcterms:created>
  <dcterms:modified xsi:type="dcterms:W3CDTF">2026-08-04T12:49:53Z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