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Polk\"/>
    </mc:Choice>
  </mc:AlternateContent>
  <xr:revisionPtr revIDLastSave="0" documentId="13_ncr:1_{6B651CE2-DEA9-4DC9-B023-715B0A87E63D}" xr6:coauthVersionLast="47" xr6:coauthVersionMax="47" xr10:uidLastSave="{00000000-0000-0000-0000-000000000000}"/>
  <workbookProtection workbookAlgorithmName="SHA-512" workbookHashValue="gQ30Pwbug1/H7PxTgHpTTGaCOj6geFz1Ifg/ZqFE1gbgkzPf35gifhssBUE8QSfS/SpPdaQmY8/1cPVpg2Y7YA==" workbookSaltValue="KHYLdbMvCNzzhDm7wITlWQ==" workbookSpinCount="100000" lockStructure="1"/>
  <bookViews>
    <workbookView xWindow="29130" yWindow="180" windowWidth="27915" windowHeight="14505" tabRatio="769" firstSheet="3" activeTab="3" xr2:uid="{00000000-000D-0000-FFFF-FFFF00000000}"/>
  </bookViews>
  <sheets>
    <sheet name="SUMMARY OF CHANGES" sheetId="10" state="hidden" r:id="rId1"/>
    <sheet name="OPB WORKBOOK INSTRUCTIONS" sheetId="25" state="hidden" r:id="rId2"/>
    <sheet name="VLOOKUP" sheetId="23" state="hidden" r:id="rId3"/>
    <sheet name="EXHIBIT A" sheetId="4" r:id="rId4"/>
    <sheet name="CHECK SHEET" sheetId="3" state="hidden" r:id="rId5"/>
    <sheet name="EXHIBIT B" sheetId="5" r:id="rId6"/>
    <sheet name="EXHIBIT C" sheetId="6" r:id="rId7"/>
    <sheet name="EXHIBIT C(2)" sheetId="12" r:id="rId8"/>
    <sheet name="EXHIBIT D" sheetId="7" r:id="rId9"/>
    <sheet name="EXHIBIT F" sheetId="26" r:id="rId10"/>
    <sheet name="EXHIBIT E" sheetId="8"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4">'CHECK SHEET'!$A$1:$I$138</definedName>
    <definedName name="_xlnm.Print_Area" localSheetId="13">'DISCRETIONARY FEE PERCENTAGES'!$A$1:$C$36</definedName>
    <definedName name="_xlnm.Print_Area" localSheetId="3">'EXHIBIT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10">'EXHIBIT E'!$A$1:$E$21</definedName>
    <definedName name="_xlnm.Print_Area" localSheetId="9">'EXHIBIT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4" hidden="1">'CHECK SHEET'!$A$3:$G$113</definedName>
    <definedName name="Z_8CA1AA3C_D3A6_493D_93EE_74DE1406A5FE_.wvu.PrintArea" localSheetId="3"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10"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8"/>
  <customWorkbookViews>
    <customWorkbookView name="sophia.gaines - Personal View" guid="{8CA1AA3C-D3A6-493D-93EE-74DE1406A5FE}" mergeInterval="0" personalView="1" maximized="1" windowWidth="1020" windowHeight="466"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7" l="1"/>
  <c r="G234" i="7"/>
  <c r="G232" i="7"/>
  <c r="G212" i="7"/>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I31" i="5"/>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28" i="6" l="1"/>
  <c r="H47" i="6" s="1"/>
  <c r="C126" i="3"/>
  <c r="F117" i="15"/>
  <c r="F128" i="15" s="1"/>
  <c r="C119" i="3"/>
  <c r="E18" i="4"/>
  <c r="E21" i="4" s="1"/>
  <c r="E23" i="4" s="1"/>
  <c r="E44" i="4" s="1"/>
  <c r="C17" i="3" s="1"/>
  <c r="F84" i="3"/>
  <c r="F88" i="3" s="1"/>
  <c r="C34" i="3" l="1"/>
  <c r="F130" i="15"/>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<sst xmlns="http://schemas.openxmlformats.org/spreadsheetml/2006/main" count="1319" uniqueCount="794">
  <si>
    <t xml:space="preserve">THE FLORIDA COLLEGE SYSTEM </t>
  </si>
  <si>
    <t>2026-27 COLLEGE OPERATING BUDGET</t>
  </si>
  <si>
    <t xml:space="preserve">SUMMARY OF CHANGES </t>
  </si>
  <si>
    <t>UPDATE CHANGES IF NECESSARY</t>
  </si>
  <si>
    <t>CHANGES</t>
  </si>
  <si>
    <t>EXHIBIT(S)/CHECK SHEET</t>
  </si>
  <si>
    <t>GENERAL LEDGER CODES</t>
  </si>
  <si>
    <t>LINES (ADDED, MOVED, RENAMED, ADJUSTED OR DELETED)</t>
  </si>
  <si>
    <t xml:space="preserve"> </t>
  </si>
  <si>
    <t xml:space="preserve">  </t>
  </si>
  <si>
    <t>THE FLORIDA COLLEGE SYSTEM</t>
  </si>
  <si>
    <t xml:space="preserve">2026-27 INSTRUCTIONS </t>
  </si>
  <si>
    <t>ANNUAL COLLEGE OPERATING BUDGET WORKBOOK FORMS</t>
  </si>
  <si>
    <t>Double Click to download a PDF of the document.</t>
  </si>
  <si>
    <t xml:space="preserve">VLOOKUP CHARTS - DO NOT DELETE - UPDATE EACH YEAR </t>
  </si>
  <si>
    <t>UPDATE COLUMNS HIGHLIGHTED IN YELLOW</t>
  </si>
  <si>
    <t>Updated 5.27.26 EN</t>
  </si>
  <si>
    <t xml:space="preserve"> FLORIDA COLLEGE SYSTEM PROGRAM FUND (FCSPF) APPROPRIATIONS </t>
  </si>
  <si>
    <t xml:space="preserve">2026-27 BASE BUDGET </t>
  </si>
  <si>
    <t>COLLEGE NAME</t>
  </si>
  <si>
    <r>
      <t xml:space="preserve">FCSPF GENERAL REVENUE (GENERAL LEDGER CODE 42110) </t>
    </r>
    <r>
      <rPr>
        <vertAlign val="superscript"/>
        <sz val="16"/>
        <rFont val="Calibri"/>
        <family val="2"/>
      </rPr>
      <t>1,2,3</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</si>
  <si>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</si>
  <si>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</si>
  <si>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</si>
  <si>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</si>
  <si>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</si>
  <si>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</si>
  <si>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</si>
  <si>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</si>
  <si>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</si>
  <si>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</si>
  <si>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</si>
  <si>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</si>
  <si>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</si>
  <si>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</si>
  <si>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</si>
  <si>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</si>
  <si>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</si>
  <si>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</si>
  <si>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</si>
  <si>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</si>
  <si>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</si>
  <si>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</si>
  <si>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</si>
  <si>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</si>
  <si>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</si>
  <si>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</si>
  <si>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</si>
  <si>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</si>
  <si>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</si>
  <si>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State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</si>
  <si>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</si>
  <si>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</si>
  <si>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</si>
  <si>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</si>
  <si>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</si>
  <si>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2026-27 SPECIAL PROJECTS</t>
  </si>
  <si>
    <t>Updated:5.26.26 Needs final edit.</t>
  </si>
  <si>
    <t xml:space="preserve">Program/Project </t>
  </si>
  <si>
    <t xml:space="preserve">Recurring </t>
  </si>
  <si>
    <t>Nonrecurring</t>
  </si>
  <si>
    <t>Total</t>
  </si>
  <si>
    <t>Workforce Program Expansion - Welding Technology and Advanced Manufacturing (SF 3130)</t>
  </si>
  <si>
    <t>Critical Workforce Program Expansion (HF 1170)</t>
  </si>
  <si>
    <t>Advanced Technology Center</t>
  </si>
  <si>
    <t>Specialized Equipment for Center for Aerospace and Advanced Technical Education (HF 2186)</t>
  </si>
  <si>
    <t>Florida Southwestern State College</t>
  </si>
  <si>
    <t>Equipping Applied Science Laboratories-Multiple Campuses (HF 3683)</t>
  </si>
  <si>
    <t xml:space="preserve">Regional Transportation Training Center </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</si>
  <si>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</si>
  <si>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</si>
  <si>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</si>
  <si>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</si>
  <si>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</si>
  <si>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STEM Stackable</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</si>
  <si>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</si>
  <si>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</si>
  <si>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</si>
  <si>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</si>
  <si>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</si>
  <si>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</si>
  <si>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</si>
  <si>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The Special Projects Recurring and Nonrecurring amounts are included in the General Revenue appropriations, Column B above.</t>
  </si>
  <si>
    <t>2026-27</t>
  </si>
  <si>
    <t>Date Updated 4.4.24</t>
  </si>
  <si>
    <t>ADULTS WITH DISABILITIES APPROPRIATION  (PROVIDED FOR INFORMATION PURPOSES ONLY APPROPRIATION 28 NOT ADDED INTO GR ABOVE)</t>
  </si>
  <si>
    <t>UPDATE COLUMN B</t>
  </si>
  <si>
    <t>2026-27 FINANCIAL AID FEES ADDITIONAL 2% CALCULATION</t>
  </si>
  <si>
    <t>updated 4.10.26 EN</t>
  </si>
  <si>
    <t xml:space="preserve"> TOTAL 2026-27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</si>
  <si>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</si>
  <si>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</si>
  <si>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</si>
  <si>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</si>
  <si>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</si>
  <si>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J:\Finance\Fees\2025-26\Fee Calculator 2025-26(Using 2025-26 FTE-2A) FALL 2025 FEES 4.10.26.DRS.xlsx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</si>
  <si>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</si>
  <si>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</si>
  <si>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</si>
  <si>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2025-26 FTE-2A REPORT</t>
  </si>
  <si>
    <t>Date Updated:   04.10.26;    BY:  EN</t>
  </si>
  <si>
    <t>LOWER LEVEL</t>
  </si>
  <si>
    <t>FEE PAYING FTE TOTALS</t>
  </si>
  <si>
    <t>UPPER LEVEL</t>
  </si>
  <si>
    <t>CREDIT</t>
  </si>
  <si>
    <t>NON-CREDIT</t>
  </si>
  <si>
    <t>FEE PAYING</t>
  </si>
  <si>
    <t>THIS IS THE DIVISION'S ESTIMATES BASED ON THE 2025-26 ESTIMATED FTE-2A  REPORT</t>
  </si>
  <si>
    <t>BACCALAUREATE</t>
  </si>
  <si>
    <t>A &amp; P</t>
  </si>
  <si>
    <t>PSV</t>
  </si>
  <si>
    <t>DEV ED</t>
  </si>
  <si>
    <t>EPI</t>
  </si>
  <si>
    <t>CAREER CERTIFICATE AND APPLIED TECHNOLOGY DIPLOMA (PSAV)</t>
  </si>
  <si>
    <t>ASB</t>
  </si>
  <si>
    <t>ADULT EDUCATION</t>
  </si>
  <si>
    <t>VLOOKUP CHARTS - DO NOT DELETE</t>
  </si>
  <si>
    <t>DO NOT DELETE (THIS CALCULATION CHECKS THE ACCURACY OF THE DATA EACH EACH YEAR)</t>
  </si>
  <si>
    <t>Resident</t>
  </si>
  <si>
    <t>Non Resident</t>
  </si>
  <si>
    <t>VOC. PREP FTE/ADULT EDUCATION FTE ARE EXCLUDED</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</si>
  <si>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</si>
  <si>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</si>
  <si>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</si>
  <si>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</si>
  <si>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</si>
  <si>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</si>
  <si>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2025-26 Estimated FTE-2A Report</t>
  </si>
  <si>
    <t>This amount should agree with the FTE-2A Report Total Fee Paying (Cell U121)</t>
  </si>
  <si>
    <t>This amount should agree with 2025-26 FTE-2A Report (Cell L82)</t>
  </si>
  <si>
    <t xml:space="preserve">Save the FTE-2A Report at: </t>
  </si>
  <si>
    <t>J:\Finance\Operating Budgets - current year\2026-27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</si>
  <si>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</si>
  <si>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</si>
  <si>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</si>
  <si>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UPDATE COLUMN HIGHLIGHTED IN YELLOW</t>
  </si>
  <si>
    <t>Date Updated: 5.27.26</t>
  </si>
  <si>
    <t>FCSPF - PERFORMANCE BASED INCENTIVES (GL 42150)</t>
  </si>
  <si>
    <t>PIPELINE (GL Code 42130)</t>
  </si>
  <si>
    <t>EXHIBIT A</t>
  </si>
  <si>
    <t>COLLEGE OPERATING BUDGET</t>
  </si>
  <si>
    <t>ANNUAL BUDGET SUMMARY</t>
  </si>
  <si>
    <t xml:space="preserve"> FISCAL YEAR 2026-27</t>
  </si>
  <si>
    <t>COLLEGE:</t>
  </si>
  <si>
    <t>CURRENT FUNDS - UNRESTRICTED</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</si>
  <si>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</si>
  <si>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</si>
  <si>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</si>
  <si>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2026</t>
    </r>
  </si>
  <si>
    <t>ADD:              REVENUES</t>
  </si>
  <si>
    <t xml:space="preserve">                       TRANSFERS IN</t>
  </si>
  <si>
    <t>TOTAL RECEIPTS</t>
  </si>
  <si>
    <t>TOTAL ESTIMATED AVAILABLE</t>
  </si>
  <si>
    <t>DEDUCT:      EXPENDITURES</t>
  </si>
  <si>
    <t xml:space="preserve">                       TRANSFERS OUT</t>
  </si>
  <si>
    <t>TOTAL DISBURSEMENTS</t>
  </si>
  <si>
    <t>ESTIMATED FUND BALANCE - JUNE 30, 2026:</t>
  </si>
  <si>
    <t>TOTAL AVAILABLE LESS DISBURSEMENTS</t>
  </si>
  <si>
    <t>ADD ACCRUED LEAVE EXPENSE (GLC 59300)</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</si>
  <si>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</si>
  <si>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</si>
  <si>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</si>
  <si>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</si>
  <si>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 xml:space="preserve">       (Includes GL's: 30200, 30300, 30400, 30500, 30600, 30700, 30900, and 31100)</t>
  </si>
  <si>
    <t xml:space="preserve">PERCENT OF ESTIMATED UNENCUMBERED FUND BALANCE </t>
  </si>
  <si>
    <t>AS OF JUNE 30, 2027, TO ESTIMATED FUNDS AVAILABLE</t>
  </si>
  <si>
    <t>CERTIFY BOARD OF TRUSTEES APPROVAL:</t>
  </si>
  <si>
    <t>COLLEGE PRESIDENT</t>
  </si>
  <si>
    <t>DATE</t>
  </si>
  <si>
    <t xml:space="preserve"> FALL 2026-27 COLLEGE OPERATING BUDGET CHECK SHEET</t>
  </si>
  <si>
    <t>THE PURPOSE OF THIS CHECK SHEET WILL ALLOW THE COLLEGE TO VERIFY THE OPERATING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</si>
  <si>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</si>
  <si>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</si>
  <si>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</si>
  <si>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</si>
  <si>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</si>
  <si>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</si>
  <si>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</si>
  <si>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</si>
  <si>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</si>
  <si>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</si>
  <si>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</si>
  <si>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</si>
  <si>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</si>
  <si>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</si>
  <si>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</si>
  <si>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</si>
  <si>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</si>
  <si>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</si>
  <si>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</si>
  <si>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</si>
  <si>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</si>
  <si>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</si>
  <si>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</si>
  <si>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</si>
  <si>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</si>
  <si>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</si>
  <si>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</si>
  <si>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</si>
  <si>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</si>
  <si>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</si>
  <si>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</si>
  <si>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</si>
  <si>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</si>
  <si>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</si>
  <si>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</si>
  <si>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</si>
  <si>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CAREER CERTIFICATE AND APPLIED TECHNOLOGY DIPLOMA</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</si>
  <si>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</si>
  <si>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</si>
  <si>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</si>
  <si>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Explanation: Do not press Enter until complete.</t>
  </si>
  <si>
    <t xml:space="preserve">Credit hours calculated above are based on current fiscal year revenues and include unfunded FTE in comparison to the "in-state estimated FTE."  As we navigate our newly implemented ERP system, Banner, we are identifying classifcation improvements to ensure more accurate data for state reporting, as well.  While Postsecondary Vocational shows a large decrease from the Estimated FTE, the College is seeing a steady increase in course enrollment over the last several years.  For FY27, we have budgeted an increase as compared to FY26 for Estimated Student Credit Hours.  Developmental Education includes repeat students, which would be removed from the budget office's Estimated FTE count.  The College is also placing a strong focus on increasing enrollment for the Baccalaureate program, as well as overall retention of students. </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</si>
  <si>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</si>
  <si>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</si>
  <si>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</si>
  <si>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</si>
  <si>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</si>
  <si>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The expectation is that our out of state tuition will continue to increase due to the efforts to increase our online program offerings through the recruitment of military and marketing efforts for online courses.  Polk County's continued growth will also help to increase this with the newcomers who may not have established residency but are ready to enroll in college.</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</si>
  <si>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</si>
  <si>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</si>
  <si>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</si>
  <si>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</si>
  <si>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</si>
  <si>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</si>
  <si>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</si>
  <si>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</si>
  <si>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</si>
  <si>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</si>
  <si>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</si>
  <si>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</si>
  <si>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</si>
  <si>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</si>
  <si>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</si>
  <si>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</si>
  <si>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</si>
  <si>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</si>
  <si>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</si>
  <si>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</si>
  <si>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</si>
  <si>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</si>
  <si>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2026 (populated from EXHIBIT A) is equal to Total Available Fund Balance as of June 30, 2026 minus the Encumbered Reserves (populated from EXHIBIT D). </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</si>
  <si>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</si>
  <si>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</si>
  <si>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C101 and C102 are reported correctly on Exhibits A and D.</t>
  </si>
  <si>
    <t>11.</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</si>
  <si>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</si>
  <si>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</si>
  <si>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</si>
  <si>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Difference</t>
  </si>
  <si>
    <t>Amount budgeted in GLC 59300 for the Compensated Absence Expense</t>
  </si>
  <si>
    <t>Cell C114 should be "zero (0)". If this cell is red, please verify that the amounts automatically populated in Cells C108, C109 and C112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</si>
  <si>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</si>
  <si>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</si>
  <si>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</si>
  <si>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</si>
  <si>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</si>
  <si>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</si>
  <si>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</si>
  <si>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t>14.</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</si>
  <si>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</si>
  <si>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Grand Total Expenditures and Total Sources of Funds</t>
  </si>
  <si>
    <t>EXPLANATION: Do not press Enter until complete.</t>
  </si>
  <si>
    <t>EXHIBIT B</t>
  </si>
  <si>
    <t xml:space="preserve">FALL 2026-27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</si>
  <si>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</si>
  <si>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</si>
  <si>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</si>
  <si>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</si>
  <si>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</si>
  <si>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</si>
  <si>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</si>
  <si>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</si>
  <si>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</si>
  <si>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</si>
  <si>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</si>
  <si>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</si>
  <si>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</si>
  <si>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</si>
  <si>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</si>
  <si>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</si>
  <si>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</si>
  <si>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</si>
  <si>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</si>
  <si>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</si>
  <si>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DISTANCE LEARNING (2)</t>
  </si>
  <si>
    <t xml:space="preserve">Note:  </t>
  </si>
  <si>
    <t>(1) These Fees Are Not Required. The 2026-27 Fee Audit and Discretionary Fee calculations are provided at the end of the Workbook, to assist the college in verifying that the tuition and fee</t>
  </si>
  <si>
    <t xml:space="preserve"> rates are in compliance with sections 1009.22 and 1009.23, Florida Statutes.</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</si>
  <si>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</si>
  <si>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credit hour for nonresident tuition and fees for distance learning. Such institutions may phase in this nonresident tuition rate by degree program.</t>
  </si>
  <si>
    <t>EXHIBIT C</t>
  </si>
  <si>
    <t>FALL 2026-27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</si>
  <si>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</si>
  <si>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</si>
  <si>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</si>
  <si>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</si>
  <si>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</si>
  <si>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</si>
  <si>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</si>
  <si>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TOTAL FEE PAYING</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</si>
  <si>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</si>
  <si>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</si>
  <si>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</si>
  <si>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</si>
  <si>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</si>
  <si>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</si>
  <si>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</si>
  <si>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</si>
  <si>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</si>
  <si>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</si>
  <si>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</si>
  <si>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</si>
  <si>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</si>
  <si>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</si>
  <si>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EDUCATOR PREPARATION INSTITUTES &amp; ALTERNATIVE CERTIFICATION CURRICULUM</t>
  </si>
  <si>
    <t>DISTANCE LEARNING</t>
  </si>
  <si>
    <t>XXXXX</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</si>
  <si>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</si>
  <si>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</si>
  <si>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</si>
  <si>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</si>
  <si>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</si>
  <si>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</si>
  <si>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</si>
  <si>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</si>
  <si>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</si>
  <si>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</si>
  <si>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</si>
  <si>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</si>
  <si>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</si>
  <si>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</si>
  <si>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</si>
  <si>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</si>
  <si>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</si>
  <si>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</si>
  <si>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</si>
  <si>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IF YOU ENTER AN AMOUNT BELOW, YOU MUST ENTER THE APPROPRIATE FUND NUMBER IN THE "FUND TRANSFERRED FROM" COLUMN AND THE "FUND TRANSFERRED TO" COLUMN. PLEASE DO NOT LEAVE BLANK. </t>
  </si>
  <si>
    <t>PURPOSE OF TRANSFER</t>
  </si>
  <si>
    <t>AMOUNT</t>
  </si>
  <si>
    <t>FUND TRANSFERRED FROM</t>
  </si>
  <si>
    <t>FUND TRANSFERRED TO</t>
  </si>
  <si>
    <t>Current</t>
  </si>
  <si>
    <t>TOTAL TRANSFERS OUT</t>
  </si>
  <si>
    <t>Auxiliary</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</si>
  <si>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</si>
  <si>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</si>
  <si>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</si>
  <si>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</si>
  <si>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</si>
  <si>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</si>
  <si>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</si>
  <si>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</si>
  <si>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</si>
  <si>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</si>
  <si>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</si>
  <si>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</si>
  <si>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</si>
  <si>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</si>
  <si>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FOR THE FISCAL YEAR 2026-27</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</si>
  <si>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</si>
  <si>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</si>
  <si>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</si>
  <si>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</si>
  <si>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</si>
  <si>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</si>
  <si>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</si>
  <si>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</si>
  <si>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</si>
  <si>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</si>
  <si>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</si>
  <si>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</si>
  <si>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</si>
  <si>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</si>
  <si>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</si>
  <si>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</si>
  <si>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</si>
  <si>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</si>
  <si>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</si>
  <si>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</si>
  <si>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</si>
  <si>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</si>
  <si>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</si>
  <si>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TUITION - DUAL ENROLLMENT</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</si>
  <si>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</si>
  <si>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</si>
  <si>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</si>
  <si>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</si>
  <si>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</si>
  <si>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</si>
  <si>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</si>
  <si>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</si>
  <si>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</si>
  <si>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</si>
  <si>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</si>
  <si>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</si>
  <si>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</si>
  <si>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</si>
  <si>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</si>
  <si>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</si>
  <si>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</si>
  <si>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</si>
  <si>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</si>
  <si>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</si>
  <si>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</si>
  <si>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</si>
  <si>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</si>
  <si>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</si>
  <si>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</si>
  <si>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</si>
  <si>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</si>
  <si>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</si>
  <si>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</si>
  <si>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</si>
  <si>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</si>
  <si>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</si>
  <si>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</si>
  <si>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</si>
  <si>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</si>
  <si>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 (TO INCLUDE PIPELINE)</t>
  </si>
  <si>
    <t xml:space="preserve">PERFORMANCE-BASED INCENTIVE FUNDING - FCSPF </t>
  </si>
  <si>
    <t>42150</t>
  </si>
  <si>
    <t>LICENSE TAG FEES APPROPRIATION</t>
  </si>
  <si>
    <t>42210</t>
  </si>
  <si>
    <t>PERFORMANCE-BASED INCENTIVE PROGRAM (CATEGORICAL APPROPRIATIONS, INDUSTRY CERTIFICATIONS)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</si>
  <si>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</si>
  <si>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</si>
  <si>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</si>
  <si>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</si>
  <si>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</si>
  <si>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</si>
  <si>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</si>
  <si>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</si>
  <si>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</si>
  <si>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</si>
  <si>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</si>
  <si>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</si>
  <si>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</si>
  <si>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GRANTS AND CONTRACTS FEDERAL GOVERNMENT - STIMULUS (HEERF) - INSTITUTIONAL</t>
  </si>
  <si>
    <t>GRANTS AND CONTRACTS FEDERAL GOVERNMENT - STIMULUS (HEERF) - STUDENT</t>
  </si>
  <si>
    <t>INDIRECT COST RECOVERED - FEDERAL</t>
  </si>
  <si>
    <t>43900</t>
  </si>
  <si>
    <t>TOTAL FEDERAL SUPPORT</t>
  </si>
  <si>
    <t>GIFTS, PRIVATE GRANTS AND CONTRACTS</t>
  </si>
  <si>
    <t>CASH CONTRIBUTIONS AND GIFTS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</si>
  <si>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</si>
  <si>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</si>
  <si>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</si>
  <si>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</si>
  <si>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</si>
  <si>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</si>
  <si>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</si>
  <si>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</si>
  <si>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</si>
  <si>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</si>
  <si>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RENTAL REVENUE (SHORT TERM)</t>
  </si>
  <si>
    <t>46400</t>
  </si>
  <si>
    <t>OTHER SALES AND SERVICES</t>
  </si>
  <si>
    <t>46600</t>
  </si>
  <si>
    <t>TAXABLE SALES</t>
  </si>
  <si>
    <t>46700</t>
  </si>
  <si>
    <t>INTERDEPARTMENTAL SALES</t>
  </si>
  <si>
    <t>46900</t>
  </si>
  <si>
    <t>TOTAL SALES AND SVCS. DEPT.</t>
  </si>
  <si>
    <t>ENDOWMENT INCOME-ADDITION TO PRINCIPAL</t>
  </si>
  <si>
    <t>47100</t>
  </si>
  <si>
    <t>TOTAL ENDOWMENT INCOME</t>
  </si>
  <si>
    <t>OTHER REVENUES</t>
  </si>
  <si>
    <t>INTEREST AND DIVIDENDS</t>
  </si>
  <si>
    <t>48100</t>
  </si>
  <si>
    <t>GAIN OR LOSS ON INVESTMENTS</t>
  </si>
  <si>
    <t>48200</t>
  </si>
  <si>
    <t>FINES AND PENALTIES</t>
  </si>
  <si>
    <t>48700</t>
  </si>
  <si>
    <t>MISCELLANEOUS REVENUES</t>
  </si>
  <si>
    <t>48900</t>
  </si>
  <si>
    <t>TOTAL OTHER REVENUES</t>
  </si>
  <si>
    <t>NON-REVENUE RECEIPTS</t>
  </si>
  <si>
    <t>MANDATORY TRANSFERS IN, FROM CURRENT FUNDS - UNRESTRICTED</t>
  </si>
  <si>
    <t>49110</t>
  </si>
  <si>
    <t>NON-MANDATORY TRANSFERS IN</t>
  </si>
  <si>
    <t>PROCEEDS FROM CAPITAL ASSETS &amp; RELATED LONG-TERM DEBT</t>
  </si>
  <si>
    <t>49500</t>
  </si>
  <si>
    <t>INSURANCE RECOVERY</t>
  </si>
  <si>
    <t>UNINSURED LOSS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</si>
  <si>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</si>
  <si>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</si>
  <si>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</si>
  <si>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</si>
  <si>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</si>
  <si>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</si>
  <si>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</si>
  <si>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</si>
  <si>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</si>
  <si>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</si>
  <si>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</si>
  <si>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</si>
  <si>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</si>
  <si>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</si>
  <si>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</si>
  <si>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</si>
  <si>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</si>
  <si>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</si>
  <si>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</si>
  <si>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</si>
  <si>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</si>
  <si>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</si>
  <si>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</si>
  <si>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</si>
  <si>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</si>
  <si>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</si>
  <si>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</si>
  <si>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</si>
  <si>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</si>
  <si>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</si>
  <si>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</si>
  <si>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</si>
  <si>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</si>
  <si>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</si>
  <si>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</si>
  <si>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</si>
  <si>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</si>
  <si>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</si>
  <si>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</si>
  <si>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</si>
  <si>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</si>
  <si>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</si>
  <si>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</si>
  <si>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</si>
  <si>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</si>
  <si>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</si>
  <si>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</si>
  <si>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</si>
  <si>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</si>
  <si>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</si>
  <si>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</si>
  <si>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</si>
  <si>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</si>
  <si>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</si>
  <si>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</si>
  <si>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</si>
  <si>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</si>
  <si>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</si>
  <si>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</si>
  <si>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</si>
  <si>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</si>
  <si>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</si>
  <si>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</si>
  <si>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</si>
  <si>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</si>
  <si>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</si>
  <si>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</si>
  <si>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</si>
  <si>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</si>
  <si>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</si>
  <si>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</si>
  <si>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</si>
  <si>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</si>
  <si>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</si>
  <si>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</si>
  <si>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</si>
  <si>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</si>
  <si>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</si>
  <si>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</si>
  <si>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</si>
  <si>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</si>
  <si>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</si>
  <si>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</si>
  <si>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</si>
  <si>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</si>
  <si>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</si>
  <si>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</si>
  <si>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</si>
  <si>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</si>
  <si>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</si>
  <si>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MATRICULATION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</si>
  <si>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</si>
  <si>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</si>
  <si>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</si>
  <si>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</si>
  <si>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</si>
  <si>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</si>
  <si>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</si>
  <si>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</si>
  <si>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</si>
  <si>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</si>
  <si>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</si>
  <si>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</si>
  <si>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</si>
  <si>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</si>
  <si>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</si>
  <si>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 (SHORT TERM)</t>
  </si>
  <si>
    <t>63000</t>
  </si>
  <si>
    <t>LEASE PAYMENTS (LONG-TERM/ASSET&lt;$5,000)</t>
  </si>
  <si>
    <t>INSURANCE</t>
  </si>
  <si>
    <t>63500</t>
  </si>
  <si>
    <t>UTILITIES (NOT DESIGNATED BELOW)</t>
  </si>
  <si>
    <t>64000</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</si>
  <si>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</si>
  <si>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</si>
  <si>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</si>
  <si>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</si>
  <si>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</si>
  <si>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</si>
  <si>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</si>
  <si>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</si>
  <si>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</si>
  <si>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</si>
  <si>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</si>
  <si>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</si>
  <si>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</si>
  <si>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</si>
  <si>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</si>
  <si>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</si>
  <si>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</si>
  <si>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</si>
  <si>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NON-COMMODITY FOOD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</si>
  <si>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</si>
  <si>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</si>
  <si>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</si>
  <si>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</si>
  <si>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</si>
  <si>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</si>
  <si>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</si>
  <si>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</si>
  <si>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</si>
  <si>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</si>
  <si>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</si>
  <si>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t>
  </si>
  <si>
    <t>NON-MANDATORY TRANSFERS-OUT</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</si>
  <si>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</si>
  <si>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</si>
  <si>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</si>
  <si>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</si>
  <si>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</si>
  <si>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</si>
  <si>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</si>
  <si>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</si>
  <si>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</si>
  <si>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</si>
  <si>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</si>
  <si>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</si>
  <si>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</si>
  <si>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</si>
  <si>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</si>
  <si>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OTHER LICENSES</t>
  </si>
  <si>
    <t>DATA LICENSES - PERPETUAL</t>
  </si>
  <si>
    <t>ARTWORK/ARTIFACT</t>
  </si>
  <si>
    <t>LEASE PAYMENTS, CAPITALIZED</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</si>
  <si>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</si>
  <si>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</si>
  <si>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</si>
  <si>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</si>
  <si>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</si>
  <si>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</si>
  <si>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</si>
  <si>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</si>
  <si>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</si>
  <si>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</si>
  <si>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</si>
  <si>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</si>
  <si>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</si>
  <si>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</si>
  <si>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</si>
  <si>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</si>
  <si>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</si>
  <si>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</si>
  <si>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</si>
  <si>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</si>
  <si>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</si>
  <si>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</si>
  <si>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2027</t>
  </si>
  <si>
    <t>TOTAL ESTIMATED FUND BALANCE</t>
  </si>
  <si>
    <t xml:space="preserve">EXHIBIT F </t>
  </si>
  <si>
    <t>(SAMPLE LETTER)</t>
  </si>
  <si>
    <t>Double Click to Download the PDF Document.</t>
  </si>
  <si>
    <t>EXHIBIT  E</t>
  </si>
  <si>
    <t>SUMMARY OF BUDGETED EXPENDITURES BY FUNCTION</t>
  </si>
  <si>
    <t>CURRENT FUND-UNRESTRICTED</t>
  </si>
  <si>
    <t>FISCAL YEAR 2026-27</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</si>
  <si>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</si>
  <si>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</si>
  <si>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</si>
  <si>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</si>
  <si>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</si>
  <si>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</si>
  <si>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</si>
  <si>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</si>
  <si>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</si>
  <si>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</si>
  <si>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</si>
  <si>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</si>
  <si>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</si>
  <si>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</si>
  <si>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</si>
  <si>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</si>
  <si>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</si>
  <si>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</si>
  <si>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</si>
  <si>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</si>
  <si>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</si>
  <si>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</si>
  <si>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INSTRUCTIONAL - SABBATICAL</t>
  </si>
  <si>
    <t>OTHER BENEFITS</t>
  </si>
  <si>
    <t>59600</t>
  </si>
  <si>
    <t>TUITION BENEFITS &amp; REIMBURSEMENT</t>
  </si>
  <si>
    <t>REPAIRS &amp; MAINTENANCE</t>
  </si>
  <si>
    <t>RENTALS</t>
  </si>
  <si>
    <t xml:space="preserve">UTILITIES </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</si>
  <si>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</si>
  <si>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</si>
  <si>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</si>
  <si>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</si>
  <si>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</si>
  <si>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</si>
  <si>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</si>
  <si>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</si>
  <si>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</si>
  <si>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</si>
  <si>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</si>
  <si>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</si>
  <si>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</si>
  <si>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</si>
  <si>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</si>
  <si>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</si>
  <si>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</si>
  <si>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</si>
  <si>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</si>
  <si>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</si>
  <si>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</si>
  <si>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**PROVIDE A BRIEF EXPLANATION FOR ITEM NUMBER 4. ABOVE - OTHER GRANTS OR REVENUES:</t>
  </si>
  <si>
    <t>FALL 2026-27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</si>
  <si>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</si>
  <si>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</si>
  <si>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</si>
  <si>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</si>
  <si>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</si>
  <si>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</si>
  <si>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</si>
  <si>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</si>
  <si>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</si>
  <si>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</si>
  <si>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</si>
  <si>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</si>
  <si>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</si>
  <si>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</si>
  <si>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</si>
  <si>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</si>
  <si>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</si>
  <si>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</si>
  <si>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</si>
  <si>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</si>
  <si>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</si>
  <si>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</si>
  <si>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</si>
  <si>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</si>
  <si>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</si>
  <si>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</si>
  <si>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</si>
  <si>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</si>
  <si>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</si>
  <si>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</si>
  <si>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</si>
  <si>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</si>
  <si>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</si>
  <si>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</si>
  <si>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</si>
  <si>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2023-24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</si>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</sst>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28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theme="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style="thin">
        <color indexed="8"/>
      </left>
      <right style="medium">
        <color theme="1"/>
      </right>
      <top style="thin">
        <color indexed="8"/>
      </top>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style="thin">
        <color indexed="8"/>
      </top>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medium">
        <color auto="1"/>
      </bottom>
      <diagonal/>
    </border>
    <border>
      <left style="medium">
        <color theme="1"/>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theme="1"/>
      </right>
      <top/>
      <bottom style="medium">
        <color indexed="8"/>
      </bottom>
      <diagonal/>
    </border>
    <border>
      <left style="medium">
        <color theme="1"/>
      </left>
      <right style="medium">
        <color theme="1"/>
      </right>
      <top/>
      <bottom style="medium">
        <color indexed="8"/>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thin">
        <color indexed="8"/>
      </right>
      <top/>
      <bottom style="thin">
        <color indexed="8"/>
      </bottom>
      <diagonal/>
    </border>
    <border>
      <left style="medium">
        <color theme="1"/>
      </left>
      <right style="medium">
        <color theme="1"/>
      </right>
      <top/>
      <bottom style="thin">
        <color indexed="8"/>
      </bottom>
      <diagonal/>
    </border>
    <border>
      <left style="medium">
        <color indexed="8"/>
      </left>
      <right style="medium">
        <color indexed="8"/>
      </right>
      <top/>
      <bottom style="thin">
        <color auto="1"/>
      </bottom>
      <diagonal/>
    </border>
    <border>
      <left/>
      <right style="thin">
        <color auto="1"/>
      </right>
      <top/>
      <bottom style="thin">
        <color indexed="8"/>
      </bottom>
      <diagonal/>
    </border>
    <border>
      <left style="thin">
        <color theme="1"/>
      </left>
      <right/>
      <top/>
      <bottom style="thin">
        <color auto="1"/>
      </bottom>
      <diagonal/>
    </border>
    <border>
      <left style="thin">
        <color indexed="8"/>
      </left>
      <right style="thin">
        <color auto="1"/>
      </right>
      <top/>
      <bottom style="thin">
        <color indexed="8"/>
      </bottom>
      <diagonal/>
    </border>
    <border>
      <left style="thin">
        <color theme="1"/>
      </left>
      <right/>
      <top/>
      <bottom style="thin">
        <color indexed="8"/>
      </bottom>
      <diagonal/>
    </border>
    <border>
      <left style="thin">
        <color indexed="8"/>
      </left>
      <right style="thin">
        <color indexed="8"/>
      </right>
      <top/>
      <bottom style="thin">
        <color indexed="64"/>
      </bottom>
      <diagonal/>
    </border>
    <border>
      <left style="medium">
        <color theme="1"/>
      </left>
      <right/>
      <top/>
      <bottom style="thin">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43" fillId="20" borderId="72" applyNumberFormat="0" applyAlignment="0" applyProtection="0"/>
    <xf numFmtId="0" fontId="30" fillId="20" borderId="72" applyNumberFormat="0" applyAlignment="0" applyProtection="0"/>
    <xf numFmtId="0" fontId="30" fillId="20" borderId="72" applyNumberFormat="0" applyAlignment="0" applyProtection="0"/>
    <xf numFmtId="0" fontId="43" fillId="20" borderId="64" applyNumberFormat="0" applyAlignment="0" applyProtection="0"/>
    <xf numFmtId="0" fontId="30" fillId="20" borderId="64" applyNumberFormat="0" applyAlignment="0" applyProtection="0"/>
    <xf numFmtId="0" fontId="30" fillId="20" borderId="64"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0" applyNumberFormat="0" applyAlignment="0" applyProtection="0"/>
    <xf numFmtId="0" fontId="28" fillId="7" borderId="68" applyNumberFormat="0" applyAlignment="0" applyProtection="0"/>
    <xf numFmtId="0" fontId="50" fillId="7" borderId="68" applyNumberFormat="0" applyAlignment="0" applyProtection="0"/>
    <xf numFmtId="0" fontId="50" fillId="7" borderId="80" applyNumberFormat="0" applyAlignment="0" applyProtection="0"/>
    <xf numFmtId="44" fontId="13" fillId="0" borderId="0" applyFont="0" applyFill="0" applyBorder="0" applyAlignment="0" applyProtection="0"/>
    <xf numFmtId="0" fontId="50" fillId="7" borderId="72" applyNumberFormat="0" applyAlignment="0" applyProtection="0"/>
    <xf numFmtId="0" fontId="28" fillId="7" borderId="72" applyNumberFormat="0" applyAlignment="0" applyProtection="0"/>
    <xf numFmtId="0" fontId="50" fillId="7" borderId="64" applyNumberFormat="0" applyAlignment="0" applyProtection="0"/>
    <xf numFmtId="0" fontId="28" fillId="7" borderId="64" applyNumberFormat="0" applyAlignment="0" applyProtection="0"/>
    <xf numFmtId="0" fontId="30" fillId="20" borderId="80" applyNumberFormat="0" applyAlignment="0" applyProtection="0"/>
    <xf numFmtId="0" fontId="30" fillId="20" borderId="80" applyNumberFormat="0" applyAlignment="0" applyProtection="0"/>
    <xf numFmtId="0" fontId="30" fillId="20" borderId="68" applyNumberFormat="0" applyAlignment="0" applyProtection="0"/>
    <xf numFmtId="0" fontId="30" fillId="20" borderId="68" applyNumberFormat="0" applyAlignment="0" applyProtection="0"/>
    <xf numFmtId="0" fontId="43" fillId="20" borderId="68" applyNumberFormat="0" applyAlignment="0" applyProtection="0"/>
    <xf numFmtId="0" fontId="43" fillId="20" borderId="80" applyNumberFormat="0" applyAlignment="0" applyProtection="0"/>
    <xf numFmtId="0" fontId="11" fillId="0" borderId="0"/>
    <xf numFmtId="0" fontId="11" fillId="0" borderId="0"/>
    <xf numFmtId="0" fontId="11" fillId="0" borderId="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4"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13" fillId="23" borderId="65" applyNumberFormat="0" applyFont="0" applyAlignment="0" applyProtection="0"/>
    <xf numFmtId="0" fontId="53"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9" fontId="13" fillId="0" borderId="0" applyFont="0" applyFill="0" applyBorder="0" applyAlignment="0" applyProtection="0"/>
    <xf numFmtId="0" fontId="13" fillId="23" borderId="73" applyNumberFormat="0" applyFont="0" applyAlignment="0" applyProtection="0"/>
    <xf numFmtId="0" fontId="13" fillId="23" borderId="73" applyNumberFormat="0" applyFont="0" applyAlignment="0" applyProtection="0"/>
    <xf numFmtId="0" fontId="54" fillId="0" borderId="67" applyNumberFormat="0" applyFill="0" applyAlignment="0" applyProtection="0"/>
    <xf numFmtId="0" fontId="35" fillId="0" borderId="67" applyNumberFormat="0" applyFill="0" applyAlignment="0" applyProtection="0"/>
    <xf numFmtId="0" fontId="35" fillId="0" borderId="67"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4"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13" fillId="23" borderId="69" applyNumberFormat="0" applyFont="0" applyAlignment="0" applyProtection="0"/>
    <xf numFmtId="0" fontId="53"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54" fillId="0" borderId="71" applyNumberFormat="0" applyFill="0" applyAlignment="0" applyProtection="0"/>
    <xf numFmtId="0" fontId="35" fillId="0" borderId="71" applyNumberFormat="0" applyFill="0" applyAlignment="0" applyProtection="0"/>
    <xf numFmtId="0" fontId="35" fillId="0" borderId="71" applyNumberFormat="0" applyFill="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4"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13" fillId="23" borderId="73" applyNumberFormat="0" applyFont="0" applyAlignment="0" applyProtection="0"/>
    <xf numFmtId="0" fontId="53" fillId="20" borderId="74" applyNumberFormat="0" applyAlignment="0" applyProtection="0"/>
    <xf numFmtId="0" fontId="29" fillId="20" borderId="74" applyNumberFormat="0" applyAlignment="0" applyProtection="0"/>
    <xf numFmtId="0" fontId="29" fillId="20" borderId="74" applyNumberFormat="0" applyAlignment="0" applyProtection="0"/>
    <xf numFmtId="0" fontId="54" fillId="0" borderId="75" applyNumberFormat="0" applyFill="0" applyAlignment="0" applyProtection="0"/>
    <xf numFmtId="0" fontId="35" fillId="0" borderId="75" applyNumberFormat="0" applyFill="0" applyAlignment="0" applyProtection="0"/>
    <xf numFmtId="0" fontId="35" fillId="0" borderId="75" applyNumberFormat="0" applyFill="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4"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13" fillId="23" borderId="81" applyNumberFormat="0" applyFont="0" applyAlignment="0" applyProtection="0"/>
    <xf numFmtId="0" fontId="53" fillId="20" borderId="82" applyNumberFormat="0" applyAlignment="0" applyProtection="0"/>
    <xf numFmtId="0" fontId="29" fillId="20" borderId="82" applyNumberFormat="0" applyAlignment="0" applyProtection="0"/>
    <xf numFmtId="0" fontId="29" fillId="20" borderId="82" applyNumberFormat="0" applyAlignment="0" applyProtection="0"/>
    <xf numFmtId="0" fontId="54" fillId="0" borderId="83" applyNumberFormat="0" applyFill="0" applyAlignment="0" applyProtection="0"/>
    <xf numFmtId="0" fontId="35" fillId="0" borderId="83" applyNumberFormat="0" applyFill="0" applyAlignment="0" applyProtection="0"/>
    <xf numFmtId="0" fontId="35" fillId="0" borderId="83"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87" applyNumberFormat="0" applyAlignment="0" applyProtection="0"/>
    <xf numFmtId="0" fontId="30" fillId="20" borderId="87" applyNumberFormat="0" applyAlignment="0" applyProtection="0"/>
    <xf numFmtId="0" fontId="30" fillId="20" borderId="87" applyNumberFormat="0" applyAlignment="0" applyProtection="0"/>
    <xf numFmtId="0" fontId="50" fillId="7" borderId="87" applyNumberFormat="0" applyAlignment="0" applyProtection="0"/>
    <xf numFmtId="0" fontId="28" fillId="7" borderId="87" applyNumberFormat="0" applyAlignment="0" applyProtection="0"/>
    <xf numFmtId="0" fontId="10" fillId="0" borderId="0"/>
    <xf numFmtId="0" fontId="10" fillId="0" borderId="0"/>
    <xf numFmtId="0" fontId="10" fillId="0" borderId="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4"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53" fillId="20" borderId="89" applyNumberFormat="0" applyAlignment="0" applyProtection="0"/>
    <xf numFmtId="0" fontId="29" fillId="20" borderId="89" applyNumberFormat="0" applyAlignment="0" applyProtection="0"/>
    <xf numFmtId="0" fontId="29" fillId="20" borderId="89" applyNumberFormat="0" applyAlignment="0" applyProtection="0"/>
    <xf numFmtId="0" fontId="54" fillId="0" borderId="90" applyNumberFormat="0" applyFill="0" applyAlignment="0" applyProtection="0"/>
    <xf numFmtId="0" fontId="35" fillId="0" borderId="90" applyNumberFormat="0" applyFill="0" applyAlignment="0" applyProtection="0"/>
    <xf numFmtId="0" fontId="35" fillId="0" borderId="90" applyNumberFormat="0" applyFill="0" applyAlignment="0" applyProtection="0"/>
    <xf numFmtId="0" fontId="9" fillId="0" borderId="0"/>
    <xf numFmtId="0" fontId="9" fillId="0" borderId="0"/>
    <xf numFmtId="0" fontId="9" fillId="0" borderId="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0" fontId="13" fillId="23" borderId="88"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1" applyNumberFormat="0" applyAlignment="0" applyProtection="0"/>
    <xf numFmtId="0" fontId="30" fillId="20" borderId="91" applyNumberFormat="0" applyAlignment="0" applyProtection="0"/>
    <xf numFmtId="0" fontId="30" fillId="20" borderId="91" applyNumberFormat="0" applyAlignment="0" applyProtection="0"/>
    <xf numFmtId="0" fontId="50" fillId="7" borderId="91" applyNumberFormat="0" applyAlignment="0" applyProtection="0"/>
    <xf numFmtId="0" fontId="28" fillId="7" borderId="91" applyNumberFormat="0" applyAlignment="0" applyProtection="0"/>
    <xf numFmtId="0" fontId="9" fillId="0" borderId="0"/>
    <xf numFmtId="0" fontId="9" fillId="0" borderId="0"/>
    <xf numFmtId="0" fontId="9" fillId="0" borderId="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4"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53" fillId="20" borderId="93" applyNumberFormat="0" applyAlignment="0" applyProtection="0"/>
    <xf numFmtId="0" fontId="29" fillId="20" borderId="93" applyNumberFormat="0" applyAlignment="0" applyProtection="0"/>
    <xf numFmtId="0" fontId="29" fillId="20" borderId="93" applyNumberFormat="0" applyAlignment="0" applyProtection="0"/>
    <xf numFmtId="0" fontId="54" fillId="0" borderId="94" applyNumberFormat="0" applyFill="0" applyAlignment="0" applyProtection="0"/>
    <xf numFmtId="0" fontId="35" fillId="0" borderId="94" applyNumberFormat="0" applyFill="0" applyAlignment="0" applyProtection="0"/>
    <xf numFmtId="0" fontId="35" fillId="0" borderId="94"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0" applyNumberFormat="0" applyAlignment="0" applyProtection="0"/>
    <xf numFmtId="0" fontId="30" fillId="20" borderId="100" applyNumberFormat="0" applyAlignment="0" applyProtection="0"/>
    <xf numFmtId="0" fontId="30" fillId="20" borderId="100" applyNumberFormat="0" applyAlignment="0" applyProtection="0"/>
    <xf numFmtId="0" fontId="50" fillId="7" borderId="100" applyNumberFormat="0" applyAlignment="0" applyProtection="0"/>
    <xf numFmtId="0" fontId="28" fillId="7" borderId="100" applyNumberFormat="0" applyAlignment="0" applyProtection="0"/>
    <xf numFmtId="0" fontId="6" fillId="0" borderId="0"/>
    <xf numFmtId="0" fontId="6" fillId="0" borderId="0"/>
    <xf numFmtId="0" fontId="6" fillId="0" borderId="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4"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53" fillId="20" borderId="102" applyNumberFormat="0" applyAlignment="0" applyProtection="0"/>
    <xf numFmtId="0" fontId="29" fillId="20" borderId="102" applyNumberFormat="0" applyAlignment="0" applyProtection="0"/>
    <xf numFmtId="0" fontId="29" fillId="20" borderId="102" applyNumberFormat="0" applyAlignment="0" applyProtection="0"/>
    <xf numFmtId="0" fontId="54" fillId="0" borderId="103" applyNumberFormat="0" applyFill="0" applyAlignment="0" applyProtection="0"/>
    <xf numFmtId="0" fontId="35" fillId="0" borderId="103" applyNumberFormat="0" applyFill="0" applyAlignment="0" applyProtection="0"/>
    <xf numFmtId="0" fontId="35" fillId="0" borderId="103"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0" fontId="13" fillId="23" borderId="92"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43" fillId="20" borderId="104" applyNumberFormat="0" applyAlignment="0" applyProtection="0"/>
    <xf numFmtId="0" fontId="30" fillId="20" borderId="104" applyNumberFormat="0" applyAlignment="0" applyProtection="0"/>
    <xf numFmtId="0" fontId="30" fillId="20" borderId="104" applyNumberFormat="0" applyAlignment="0" applyProtection="0"/>
    <xf numFmtId="0" fontId="43" fillId="20" borderId="104" applyNumberFormat="0" applyAlignment="0" applyProtection="0"/>
    <xf numFmtId="0" fontId="30" fillId="20" borderId="104" applyNumberFormat="0" applyAlignment="0" applyProtection="0"/>
    <xf numFmtId="0" fontId="30" fillId="20" borderId="104" applyNumberFormat="0" applyAlignment="0" applyProtection="0"/>
    <xf numFmtId="0" fontId="28" fillId="7" borderId="104" applyNumberFormat="0" applyAlignment="0" applyProtection="0"/>
    <xf numFmtId="0" fontId="28" fillId="7" borderId="104" applyNumberFormat="0" applyAlignment="0" applyProtection="0"/>
    <xf numFmtId="0" fontId="50" fillId="7" borderId="104" applyNumberFormat="0" applyAlignment="0" applyProtection="0"/>
    <xf numFmtId="0" fontId="50" fillId="7" borderId="104" applyNumberFormat="0" applyAlignment="0" applyProtection="0"/>
    <xf numFmtId="0" fontId="50" fillId="7" borderId="104" applyNumberFormat="0" applyAlignment="0" applyProtection="0"/>
    <xf numFmtId="0" fontId="28" fillId="7" borderId="104" applyNumberFormat="0" applyAlignment="0" applyProtection="0"/>
    <xf numFmtId="0" fontId="50" fillId="7" borderId="104" applyNumberFormat="0" applyAlignment="0" applyProtection="0"/>
    <xf numFmtId="0" fontId="28" fillId="7" borderId="104" applyNumberFormat="0" applyAlignment="0" applyProtection="0"/>
    <xf numFmtId="0" fontId="30" fillId="20" borderId="104" applyNumberFormat="0" applyAlignment="0" applyProtection="0"/>
    <xf numFmtId="0" fontId="30" fillId="20" borderId="104" applyNumberFormat="0" applyAlignment="0" applyProtection="0"/>
    <xf numFmtId="0" fontId="30" fillId="20" borderId="104" applyNumberFormat="0" applyAlignment="0" applyProtection="0"/>
    <xf numFmtId="0" fontId="30" fillId="20" borderId="104" applyNumberFormat="0" applyAlignment="0" applyProtection="0"/>
    <xf numFmtId="0" fontId="43" fillId="20" borderId="104" applyNumberFormat="0" applyAlignment="0" applyProtection="0"/>
    <xf numFmtId="0" fontId="43" fillId="20" borderId="104" applyNumberFormat="0" applyAlignment="0" applyProtection="0"/>
    <xf numFmtId="0" fontId="5" fillId="0" borderId="0"/>
    <xf numFmtId="0" fontId="5" fillId="0" borderId="0"/>
    <xf numFmtId="0" fontId="5" fillId="0" borderId="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4"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3" fillId="20" borderId="106" applyNumberFormat="0" applyAlignment="0" applyProtection="0"/>
    <xf numFmtId="0" fontId="29" fillId="20" borderId="106" applyNumberFormat="0" applyAlignment="0" applyProtection="0"/>
    <xf numFmtId="0" fontId="29" fillId="20" borderId="106" applyNumberForma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4" fillId="0" borderId="107" applyNumberFormat="0" applyFill="0" applyAlignment="0" applyProtection="0"/>
    <xf numFmtId="0" fontId="35" fillId="0" borderId="107" applyNumberFormat="0" applyFill="0" applyAlignment="0" applyProtection="0"/>
    <xf numFmtId="0" fontId="35" fillId="0" borderId="107"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4"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3" fillId="20" borderId="106" applyNumberFormat="0" applyAlignment="0" applyProtection="0"/>
    <xf numFmtId="0" fontId="29" fillId="20" borderId="106" applyNumberFormat="0" applyAlignment="0" applyProtection="0"/>
    <xf numFmtId="0" fontId="29" fillId="20" borderId="106" applyNumberForma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4" fillId="0" borderId="107" applyNumberFormat="0" applyFill="0" applyAlignment="0" applyProtection="0"/>
    <xf numFmtId="0" fontId="35" fillId="0" borderId="107" applyNumberFormat="0" applyFill="0" applyAlignment="0" applyProtection="0"/>
    <xf numFmtId="0" fontId="35" fillId="0" borderId="107" applyNumberFormat="0" applyFill="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4"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3" fillId="20" borderId="106" applyNumberFormat="0" applyAlignment="0" applyProtection="0"/>
    <xf numFmtId="0" fontId="29" fillId="20" borderId="106" applyNumberFormat="0" applyAlignment="0" applyProtection="0"/>
    <xf numFmtId="0" fontId="29" fillId="20" borderId="106" applyNumberFormat="0" applyAlignment="0" applyProtection="0"/>
    <xf numFmtId="0" fontId="54" fillId="0" borderId="107" applyNumberFormat="0" applyFill="0" applyAlignment="0" applyProtection="0"/>
    <xf numFmtId="0" fontId="35" fillId="0" borderId="107" applyNumberFormat="0" applyFill="0" applyAlignment="0" applyProtection="0"/>
    <xf numFmtId="0" fontId="35" fillId="0" borderId="107" applyNumberFormat="0" applyFill="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4"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3" fillId="20" borderId="106" applyNumberFormat="0" applyAlignment="0" applyProtection="0"/>
    <xf numFmtId="0" fontId="29" fillId="20" borderId="106" applyNumberFormat="0" applyAlignment="0" applyProtection="0"/>
    <xf numFmtId="0" fontId="29" fillId="20" borderId="106" applyNumberFormat="0" applyAlignment="0" applyProtection="0"/>
    <xf numFmtId="0" fontId="54" fillId="0" borderId="107" applyNumberFormat="0" applyFill="0" applyAlignment="0" applyProtection="0"/>
    <xf numFmtId="0" fontId="35" fillId="0" borderId="107" applyNumberFormat="0" applyFill="0" applyAlignment="0" applyProtection="0"/>
    <xf numFmtId="0" fontId="35" fillId="0" borderId="107"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04" applyNumberFormat="0" applyAlignment="0" applyProtection="0"/>
    <xf numFmtId="0" fontId="30" fillId="20" borderId="104" applyNumberFormat="0" applyAlignment="0" applyProtection="0"/>
    <xf numFmtId="0" fontId="30" fillId="20" borderId="104" applyNumberFormat="0" applyAlignment="0" applyProtection="0"/>
    <xf numFmtId="0" fontId="50" fillId="7" borderId="104" applyNumberFormat="0" applyAlignment="0" applyProtection="0"/>
    <xf numFmtId="0" fontId="28" fillId="7" borderId="104" applyNumberFormat="0" applyAlignment="0" applyProtection="0"/>
    <xf numFmtId="0" fontId="5" fillId="0" borderId="0"/>
    <xf numFmtId="0" fontId="5" fillId="0" borderId="0"/>
    <xf numFmtId="0" fontId="5" fillId="0" borderId="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4"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3" fillId="20" borderId="106" applyNumberFormat="0" applyAlignment="0" applyProtection="0"/>
    <xf numFmtId="0" fontId="29" fillId="20" borderId="106" applyNumberFormat="0" applyAlignment="0" applyProtection="0"/>
    <xf numFmtId="0" fontId="29" fillId="20" borderId="106" applyNumberFormat="0" applyAlignment="0" applyProtection="0"/>
    <xf numFmtId="0" fontId="54" fillId="0" borderId="107" applyNumberFormat="0" applyFill="0" applyAlignment="0" applyProtection="0"/>
    <xf numFmtId="0" fontId="35" fillId="0" borderId="107" applyNumberFormat="0" applyFill="0" applyAlignment="0" applyProtection="0"/>
    <xf numFmtId="0" fontId="35" fillId="0" borderId="107" applyNumberFormat="0" applyFill="0" applyAlignment="0" applyProtection="0"/>
    <xf numFmtId="0" fontId="5" fillId="0" borderId="0"/>
    <xf numFmtId="0" fontId="5" fillId="0" borderId="0"/>
    <xf numFmtId="0" fontId="5" fillId="0" borderId="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04" applyNumberFormat="0" applyAlignment="0" applyProtection="0"/>
    <xf numFmtId="0" fontId="30" fillId="20" borderId="104" applyNumberFormat="0" applyAlignment="0" applyProtection="0"/>
    <xf numFmtId="0" fontId="30" fillId="20" borderId="104" applyNumberFormat="0" applyAlignment="0" applyProtection="0"/>
    <xf numFmtId="0" fontId="50" fillId="7" borderId="104" applyNumberFormat="0" applyAlignment="0" applyProtection="0"/>
    <xf numFmtId="0" fontId="28" fillId="7" borderId="104" applyNumberFormat="0" applyAlignment="0" applyProtection="0"/>
    <xf numFmtId="0" fontId="5" fillId="0" borderId="0"/>
    <xf numFmtId="0" fontId="5" fillId="0" borderId="0"/>
    <xf numFmtId="0" fontId="5" fillId="0" borderId="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4"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13" fillId="23" borderId="105" applyNumberFormat="0" applyFont="0" applyAlignment="0" applyProtection="0"/>
    <xf numFmtId="0" fontId="53" fillId="20" borderId="106" applyNumberFormat="0" applyAlignment="0" applyProtection="0"/>
    <xf numFmtId="0" fontId="29" fillId="20" borderId="106" applyNumberFormat="0" applyAlignment="0" applyProtection="0"/>
    <xf numFmtId="0" fontId="29" fillId="20" borderId="106" applyNumberFormat="0" applyAlignment="0" applyProtection="0"/>
    <xf numFmtId="0" fontId="54" fillId="0" borderId="107" applyNumberFormat="0" applyFill="0" applyAlignment="0" applyProtection="0"/>
    <xf numFmtId="0" fontId="35" fillId="0" borderId="107" applyNumberFormat="0" applyFill="0" applyAlignment="0" applyProtection="0"/>
    <xf numFmtId="0" fontId="35" fillId="0" borderId="107"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24" applyNumberFormat="0" applyAlignment="0" applyProtection="0"/>
    <xf numFmtId="0" fontId="83" fillId="43" borderId="127"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1"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22"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23"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24" applyNumberFormat="0" applyAlignment="0" applyProtection="0"/>
    <xf numFmtId="0" fontId="90" fillId="0" borderId="126"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05" applyNumberFormat="0" applyFont="0" applyAlignment="0" applyProtection="0"/>
    <xf numFmtId="0" fontId="64" fillId="44" borderId="128" applyNumberFormat="0" applyFont="0" applyAlignment="0" applyProtection="0"/>
    <xf numFmtId="0" fontId="64" fillId="44" borderId="128" applyNumberFormat="0" applyFont="0" applyAlignment="0" applyProtection="0"/>
    <xf numFmtId="0" fontId="64" fillId="44" borderId="128" applyNumberFormat="0" applyFont="0" applyAlignment="0" applyProtection="0"/>
    <xf numFmtId="0" fontId="64" fillId="44" borderId="128" applyNumberFormat="0" applyFont="0" applyAlignment="0" applyProtection="0"/>
    <xf numFmtId="0" fontId="92" fillId="42" borderId="125"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29"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43" fillId="20" borderId="130" applyNumberFormat="0" applyAlignment="0" applyProtection="0"/>
    <xf numFmtId="0" fontId="30" fillId="20" borderId="130" applyNumberFormat="0" applyAlignment="0" applyProtection="0"/>
    <xf numFmtId="0" fontId="30" fillId="20" borderId="130" applyNumberFormat="0" applyAlignment="0" applyProtection="0"/>
    <xf numFmtId="0" fontId="43" fillId="20" borderId="130" applyNumberFormat="0" applyAlignment="0" applyProtection="0"/>
    <xf numFmtId="0" fontId="30" fillId="20" borderId="130" applyNumberFormat="0" applyAlignment="0" applyProtection="0"/>
    <xf numFmtId="0" fontId="30" fillId="20" borderId="130" applyNumberFormat="0" applyAlignment="0" applyProtection="0"/>
    <xf numFmtId="0" fontId="28" fillId="7" borderId="130" applyNumberFormat="0" applyAlignment="0" applyProtection="0"/>
    <xf numFmtId="0" fontId="28" fillId="7" borderId="130" applyNumberFormat="0" applyAlignment="0" applyProtection="0"/>
    <xf numFmtId="0" fontId="50" fillId="7" borderId="130" applyNumberFormat="0" applyAlignment="0" applyProtection="0"/>
    <xf numFmtId="0" fontId="50" fillId="7" borderId="130" applyNumberFormat="0" applyAlignment="0" applyProtection="0"/>
    <xf numFmtId="0" fontId="50" fillId="7" borderId="130" applyNumberFormat="0" applyAlignment="0" applyProtection="0"/>
    <xf numFmtId="0" fontId="28" fillId="7" borderId="130" applyNumberFormat="0" applyAlignment="0" applyProtection="0"/>
    <xf numFmtId="0" fontId="50" fillId="7" borderId="130" applyNumberFormat="0" applyAlignment="0" applyProtection="0"/>
    <xf numFmtId="0" fontId="28" fillId="7" borderId="130" applyNumberFormat="0" applyAlignment="0" applyProtection="0"/>
    <xf numFmtId="0" fontId="30" fillId="20" borderId="130" applyNumberFormat="0" applyAlignment="0" applyProtection="0"/>
    <xf numFmtId="0" fontId="30" fillId="20" borderId="130" applyNumberFormat="0" applyAlignment="0" applyProtection="0"/>
    <xf numFmtId="0" fontId="30" fillId="20" borderId="130" applyNumberFormat="0" applyAlignment="0" applyProtection="0"/>
    <xf numFmtId="0" fontId="30" fillId="20" borderId="130" applyNumberFormat="0" applyAlignment="0" applyProtection="0"/>
    <xf numFmtId="0" fontId="43" fillId="20" borderId="130" applyNumberFormat="0" applyAlignment="0" applyProtection="0"/>
    <xf numFmtId="0" fontId="43" fillId="20" borderId="130" applyNumberFormat="0" applyAlignment="0" applyProtection="0"/>
    <xf numFmtId="0" fontId="3" fillId="0" borderId="0"/>
    <xf numFmtId="0" fontId="3" fillId="0" borderId="0"/>
    <xf numFmtId="0" fontId="3" fillId="0" borderId="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4"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3" fillId="20" borderId="132" applyNumberFormat="0" applyAlignment="0" applyProtection="0"/>
    <xf numFmtId="0" fontId="29" fillId="20" borderId="132" applyNumberFormat="0" applyAlignment="0" applyProtection="0"/>
    <xf numFmtId="0" fontId="29" fillId="20" borderId="132" applyNumberForma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4" fillId="0" borderId="133" applyNumberFormat="0" applyFill="0" applyAlignment="0" applyProtection="0"/>
    <xf numFmtId="0" fontId="35" fillId="0" borderId="133" applyNumberFormat="0" applyFill="0" applyAlignment="0" applyProtection="0"/>
    <xf numFmtId="0" fontId="35" fillId="0" borderId="133"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4"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3" fillId="20" borderId="132" applyNumberFormat="0" applyAlignment="0" applyProtection="0"/>
    <xf numFmtId="0" fontId="29" fillId="20" borderId="132" applyNumberFormat="0" applyAlignment="0" applyProtection="0"/>
    <xf numFmtId="0" fontId="29" fillId="20" borderId="132" applyNumberForma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4" fillId="0" borderId="133" applyNumberFormat="0" applyFill="0" applyAlignment="0" applyProtection="0"/>
    <xf numFmtId="0" fontId="35" fillId="0" borderId="133" applyNumberFormat="0" applyFill="0" applyAlignment="0" applyProtection="0"/>
    <xf numFmtId="0" fontId="35" fillId="0" borderId="133" applyNumberFormat="0" applyFill="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4"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3" fillId="20" borderId="132" applyNumberFormat="0" applyAlignment="0" applyProtection="0"/>
    <xf numFmtId="0" fontId="29" fillId="20" borderId="132" applyNumberFormat="0" applyAlignment="0" applyProtection="0"/>
    <xf numFmtId="0" fontId="29" fillId="20" borderId="132" applyNumberFormat="0" applyAlignment="0" applyProtection="0"/>
    <xf numFmtId="0" fontId="54" fillId="0" borderId="133" applyNumberFormat="0" applyFill="0" applyAlignment="0" applyProtection="0"/>
    <xf numFmtId="0" fontId="35" fillId="0" borderId="133" applyNumberFormat="0" applyFill="0" applyAlignment="0" applyProtection="0"/>
    <xf numFmtId="0" fontId="35" fillId="0" borderId="133" applyNumberFormat="0" applyFill="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4"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3" fillId="20" borderId="132" applyNumberFormat="0" applyAlignment="0" applyProtection="0"/>
    <xf numFmtId="0" fontId="29" fillId="20" borderId="132" applyNumberFormat="0" applyAlignment="0" applyProtection="0"/>
    <xf numFmtId="0" fontId="29" fillId="20" borderId="132" applyNumberFormat="0" applyAlignment="0" applyProtection="0"/>
    <xf numFmtId="0" fontId="54" fillId="0" borderId="133" applyNumberFormat="0" applyFill="0" applyAlignment="0" applyProtection="0"/>
    <xf numFmtId="0" fontId="35" fillId="0" borderId="133" applyNumberFormat="0" applyFill="0" applyAlignment="0" applyProtection="0"/>
    <xf numFmtId="0" fontId="35" fillId="0" borderId="133"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0" applyNumberFormat="0" applyAlignment="0" applyProtection="0"/>
    <xf numFmtId="0" fontId="30" fillId="20" borderId="130" applyNumberFormat="0" applyAlignment="0" applyProtection="0"/>
    <xf numFmtId="0" fontId="30" fillId="20" borderId="130" applyNumberFormat="0" applyAlignment="0" applyProtection="0"/>
    <xf numFmtId="0" fontId="50" fillId="7" borderId="130" applyNumberFormat="0" applyAlignment="0" applyProtection="0"/>
    <xf numFmtId="0" fontId="28" fillId="7" borderId="130" applyNumberFormat="0" applyAlignment="0" applyProtection="0"/>
    <xf numFmtId="0" fontId="3" fillId="0" borderId="0"/>
    <xf numFmtId="0" fontId="3" fillId="0" borderId="0"/>
    <xf numFmtId="0" fontId="3" fillId="0" borderId="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4"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3" fillId="20" borderId="132" applyNumberFormat="0" applyAlignment="0" applyProtection="0"/>
    <xf numFmtId="0" fontId="29" fillId="20" borderId="132" applyNumberFormat="0" applyAlignment="0" applyProtection="0"/>
    <xf numFmtId="0" fontId="29" fillId="20" borderId="132" applyNumberFormat="0" applyAlignment="0" applyProtection="0"/>
    <xf numFmtId="0" fontId="54" fillId="0" borderId="133" applyNumberFormat="0" applyFill="0" applyAlignment="0" applyProtection="0"/>
    <xf numFmtId="0" fontId="35" fillId="0" borderId="133" applyNumberFormat="0" applyFill="0" applyAlignment="0" applyProtection="0"/>
    <xf numFmtId="0" fontId="35" fillId="0" borderId="133" applyNumberFormat="0" applyFill="0" applyAlignment="0" applyProtection="0"/>
    <xf numFmtId="0" fontId="3" fillId="0" borderId="0"/>
    <xf numFmtId="0" fontId="3" fillId="0" borderId="0"/>
    <xf numFmtId="0" fontId="3" fillId="0" borderId="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0" applyNumberFormat="0" applyAlignment="0" applyProtection="0"/>
    <xf numFmtId="0" fontId="30" fillId="20" borderId="130" applyNumberFormat="0" applyAlignment="0" applyProtection="0"/>
    <xf numFmtId="0" fontId="30" fillId="20" borderId="130" applyNumberFormat="0" applyAlignment="0" applyProtection="0"/>
    <xf numFmtId="0" fontId="50" fillId="7" borderId="130" applyNumberFormat="0" applyAlignment="0" applyProtection="0"/>
    <xf numFmtId="0" fontId="28" fillId="7" borderId="130" applyNumberFormat="0" applyAlignment="0" applyProtection="0"/>
    <xf numFmtId="0" fontId="3" fillId="0" borderId="0"/>
    <xf numFmtId="0" fontId="3" fillId="0" borderId="0"/>
    <xf numFmtId="0" fontId="3" fillId="0" borderId="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4"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13" fillId="23" borderId="131" applyNumberFormat="0" applyFont="0" applyAlignment="0" applyProtection="0"/>
    <xf numFmtId="0" fontId="53" fillId="20" borderId="132" applyNumberFormat="0" applyAlignment="0" applyProtection="0"/>
    <xf numFmtId="0" fontId="29" fillId="20" borderId="132" applyNumberFormat="0" applyAlignment="0" applyProtection="0"/>
    <xf numFmtId="0" fontId="29" fillId="20" borderId="132" applyNumberFormat="0" applyAlignment="0" applyProtection="0"/>
    <xf numFmtId="0" fontId="54" fillId="0" borderId="133" applyNumberFormat="0" applyFill="0" applyAlignment="0" applyProtection="0"/>
    <xf numFmtId="0" fontId="35" fillId="0" borderId="133" applyNumberFormat="0" applyFill="0" applyAlignment="0" applyProtection="0"/>
    <xf numFmtId="0" fontId="35" fillId="0" borderId="133"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5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8" xfId="0" applyFont="1" applyBorder="1"/>
    <xf numFmtId="0" fontId="70" fillId="0" borderId="0" xfId="0" applyFont="1" applyAlignment="1">
      <alignment horizontal="center"/>
    </xf>
    <xf numFmtId="3" fontId="68" fillId="0" borderId="38"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8" xfId="0" applyFont="1" applyBorder="1" applyAlignment="1">
      <alignment horizontal="center" wrapText="1"/>
    </xf>
    <xf numFmtId="0" fontId="70" fillId="0" borderId="39" xfId="0" applyFont="1" applyBorder="1" applyAlignment="1">
      <alignment horizontal="center" wrapText="1"/>
    </xf>
    <xf numFmtId="0" fontId="70" fillId="0" borderId="35" xfId="0" applyFont="1" applyBorder="1" applyAlignment="1">
      <alignment horizontal="center" wrapText="1"/>
    </xf>
    <xf numFmtId="3" fontId="68" fillId="0" borderId="37" xfId="0" applyNumberFormat="1" applyFont="1" applyBorder="1"/>
    <xf numFmtId="0" fontId="70" fillId="0" borderId="0" xfId="0" applyFont="1"/>
    <xf numFmtId="0" fontId="71" fillId="0" borderId="0" xfId="0" applyFont="1"/>
    <xf numFmtId="0" fontId="70" fillId="0" borderId="78" xfId="0" applyFont="1" applyBorder="1"/>
    <xf numFmtId="0" fontId="68" fillId="0" borderId="0" xfId="0" applyFont="1" applyAlignment="1">
      <alignment horizontal="center"/>
    </xf>
    <xf numFmtId="0" fontId="70" fillId="0" borderId="0" xfId="0" applyFont="1" applyAlignment="1">
      <alignment wrapText="1"/>
    </xf>
    <xf numFmtId="0" fontId="70" fillId="0" borderId="76" xfId="0" applyFont="1" applyBorder="1" applyAlignment="1">
      <alignment wrapText="1"/>
    </xf>
    <xf numFmtId="0" fontId="70" fillId="0" borderId="78" xfId="0" applyFont="1" applyBorder="1" applyAlignment="1">
      <alignment wrapText="1"/>
    </xf>
    <xf numFmtId="0" fontId="70" fillId="0" borderId="77" xfId="0" applyFont="1" applyBorder="1" applyAlignment="1">
      <alignment wrapText="1"/>
    </xf>
    <xf numFmtId="0" fontId="68" fillId="0" borderId="42" xfId="0" applyFont="1" applyBorder="1" applyAlignment="1">
      <alignment horizontal="center"/>
    </xf>
    <xf numFmtId="0" fontId="70" fillId="0" borderId="97" xfId="0" applyFont="1" applyBorder="1" applyAlignment="1">
      <alignment horizontal="center"/>
    </xf>
    <xf numFmtId="0" fontId="70" fillId="0" borderId="76" xfId="0" applyFont="1" applyBorder="1" applyAlignment="1">
      <alignment horizontal="center" wrapText="1"/>
    </xf>
    <xf numFmtId="0" fontId="70" fillId="0" borderId="77" xfId="0" applyFont="1" applyBorder="1" applyAlignment="1">
      <alignment horizontal="center" wrapText="1"/>
    </xf>
    <xf numFmtId="0" fontId="70" fillId="0" borderId="36"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76" xfId="0" applyFont="1" applyBorder="1" applyAlignment="1">
      <alignment horizontal="center"/>
    </xf>
    <xf numFmtId="0" fontId="69" fillId="0" borderId="18" xfId="0" applyFont="1" applyBorder="1" applyAlignment="1">
      <alignment horizontal="center"/>
    </xf>
    <xf numFmtId="0" fontId="70" fillId="0" borderId="18" xfId="0" applyFont="1" applyBorder="1" applyAlignment="1">
      <alignment horizontal="center"/>
    </xf>
    <xf numFmtId="0" fontId="95" fillId="0" borderId="18" xfId="0" applyFont="1" applyBorder="1" applyAlignment="1">
      <alignment horizontal="left" wrapText="1"/>
    </xf>
    <xf numFmtId="3" fontId="68" fillId="0" borderId="0" xfId="0" applyNumberFormat="1" applyFont="1"/>
    <xf numFmtId="0" fontId="70" fillId="0" borderId="18" xfId="495" applyFont="1" applyBorder="1" applyAlignment="1">
      <alignment horizontal="center" wrapText="1"/>
    </xf>
    <xf numFmtId="3" fontId="71" fillId="0" borderId="18" xfId="495" applyNumberFormat="1" applyFont="1" applyBorder="1" applyAlignment="1">
      <alignment horizontal="center"/>
    </xf>
    <xf numFmtId="10" fontId="71" fillId="0" borderId="77" xfId="495" applyNumberFormat="1" applyFont="1" applyBorder="1" applyAlignment="1">
      <alignment horizontal="center"/>
    </xf>
    <xf numFmtId="0" fontId="69" fillId="0" borderId="24" xfId="0" applyFont="1" applyBorder="1" applyAlignment="1">
      <alignment horizontal="center"/>
    </xf>
    <xf numFmtId="0" fontId="73" fillId="0" borderId="0" xfId="0" applyFont="1" applyAlignment="1">
      <alignment wrapText="1"/>
    </xf>
    <xf numFmtId="166" fontId="68" fillId="36" borderId="29" xfId="0" applyNumberFormat="1" applyFont="1" applyFill="1" applyBorder="1"/>
    <xf numFmtId="0" fontId="98" fillId="0" borderId="18" xfId="0" applyFont="1" applyBorder="1" applyAlignment="1">
      <alignment horizontal="center"/>
    </xf>
    <xf numFmtId="0" fontId="70" fillId="0" borderId="16" xfId="0" applyFont="1" applyBorder="1" applyAlignment="1">
      <alignment horizontal="center"/>
    </xf>
    <xf numFmtId="0" fontId="70" fillId="70" borderId="78" xfId="0" applyFont="1" applyFill="1" applyBorder="1" applyAlignment="1">
      <alignment horizontal="center"/>
    </xf>
    <xf numFmtId="0" fontId="70" fillId="70" borderId="78" xfId="0" applyFont="1" applyFill="1" applyBorder="1" applyAlignment="1">
      <alignment wrapText="1"/>
    </xf>
    <xf numFmtId="3" fontId="73" fillId="0" borderId="0" xfId="0" applyNumberFormat="1" applyFont="1" applyAlignment="1">
      <alignment wrapText="1"/>
    </xf>
    <xf numFmtId="0" fontId="70" fillId="0" borderId="20" xfId="0" applyFont="1" applyBorder="1" applyAlignment="1">
      <alignment horizontal="center" wrapText="1"/>
    </xf>
    <xf numFmtId="0" fontId="69" fillId="0" borderId="76" xfId="0" applyFont="1" applyBorder="1" applyAlignment="1">
      <alignment horizontal="center"/>
    </xf>
    <xf numFmtId="0" fontId="67" fillId="0" borderId="76" xfId="0" applyFont="1" applyBorder="1"/>
    <xf numFmtId="0" fontId="67" fillId="0" borderId="78" xfId="0" applyFont="1" applyBorder="1"/>
    <xf numFmtId="0" fontId="100" fillId="0" borderId="18" xfId="0" applyFont="1" applyBorder="1"/>
    <xf numFmtId="3" fontId="100" fillId="0" borderId="32" xfId="0" applyNumberFormat="1" applyFont="1" applyBorder="1"/>
    <xf numFmtId="166" fontId="100" fillId="69" borderId="14" xfId="0" applyNumberFormat="1" applyFont="1" applyFill="1" applyBorder="1"/>
    <xf numFmtId="0" fontId="101" fillId="0" borderId="0" xfId="0" applyFont="1"/>
    <xf numFmtId="166" fontId="100" fillId="70" borderId="96" xfId="0" applyNumberFormat="1" applyFont="1" applyFill="1" applyBorder="1"/>
    <xf numFmtId="3" fontId="100" fillId="0" borderId="0" xfId="0" applyNumberFormat="1" applyFont="1"/>
    <xf numFmtId="0" fontId="69" fillId="0" borderId="0" xfId="0" applyFont="1" applyAlignment="1">
      <alignment horizontal="center"/>
    </xf>
    <xf numFmtId="0" fontId="67" fillId="0" borderId="77" xfId="0" applyFont="1" applyBorder="1"/>
    <xf numFmtId="3" fontId="68" fillId="36" borderId="142" xfId="0" applyNumberFormat="1" applyFont="1" applyFill="1" applyBorder="1"/>
    <xf numFmtId="3" fontId="68" fillId="36" borderId="143" xfId="0" applyNumberFormat="1" applyFont="1" applyFill="1" applyBorder="1"/>
    <xf numFmtId="0" fontId="96" fillId="0" borderId="0" xfId="17654" applyFont="1"/>
    <xf numFmtId="0" fontId="102" fillId="0" borderId="0" xfId="17654" applyFont="1"/>
    <xf numFmtId="169" fontId="104" fillId="70" borderId="0" xfId="17654" applyNumberFormat="1" applyFont="1" applyFill="1"/>
    <xf numFmtId="168" fontId="68" fillId="36" borderId="141"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0" xfId="0" applyFont="1" applyBorder="1"/>
    <xf numFmtId="0" fontId="70" fillId="0" borderId="111" xfId="0" applyFont="1" applyBorder="1" applyAlignment="1">
      <alignment horizontal="center"/>
    </xf>
    <xf numFmtId="0" fontId="68" fillId="0" borderId="112" xfId="0" applyFont="1" applyBorder="1"/>
    <xf numFmtId="0" fontId="68" fillId="0" borderId="113" xfId="0" applyFont="1" applyBorder="1"/>
    <xf numFmtId="49" fontId="71" fillId="0" borderId="114" xfId="0" applyNumberFormat="1" applyFont="1" applyBorder="1" applyAlignment="1">
      <alignment horizontal="center"/>
    </xf>
    <xf numFmtId="0" fontId="71" fillId="0" borderId="10" xfId="0" applyFont="1" applyBorder="1" applyAlignment="1">
      <alignment horizontal="center"/>
    </xf>
    <xf numFmtId="0" fontId="71" fillId="0" borderId="109" xfId="0" applyFont="1" applyBorder="1" applyAlignment="1">
      <alignment horizontal="center"/>
    </xf>
    <xf numFmtId="0" fontId="71" fillId="0" borderId="39" xfId="0" applyFont="1" applyBorder="1" applyAlignment="1">
      <alignment horizontal="center"/>
    </xf>
    <xf numFmtId="0" fontId="70" fillId="0" borderId="114" xfId="0" applyFont="1" applyBorder="1" applyAlignment="1">
      <alignment horizontal="center"/>
    </xf>
    <xf numFmtId="0" fontId="71" fillId="0" borderId="115" xfId="0" applyFont="1" applyBorder="1" applyAlignment="1">
      <alignment horizontal="center"/>
    </xf>
    <xf numFmtId="37" fontId="68" fillId="0" borderId="116" xfId="0" applyNumberFormat="1" applyFont="1" applyBorder="1"/>
    <xf numFmtId="3" fontId="74" fillId="0" borderId="25" xfId="192" quotePrefix="1" applyNumberFormat="1" applyFont="1" applyFill="1" applyBorder="1" applyAlignment="1" applyProtection="1"/>
    <xf numFmtId="3" fontId="74" fillId="0" borderId="26" xfId="181" applyNumberFormat="1" applyFont="1" applyBorder="1" applyProtection="1"/>
    <xf numFmtId="10" fontId="74" fillId="0" borderId="17" xfId="3292" quotePrefix="1" applyNumberFormat="1" applyFont="1" applyFill="1" applyBorder="1" applyAlignment="1" applyProtection="1">
      <alignment horizontal="right"/>
    </xf>
    <xf numFmtId="167" fontId="74" fillId="0" borderId="117" xfId="3292" applyNumberFormat="1" applyFont="1" applyBorder="1" applyAlignment="1" applyProtection="1">
      <alignment horizontal="right"/>
    </xf>
    <xf numFmtId="0" fontId="68" fillId="0" borderId="114" xfId="0" applyFont="1" applyBorder="1"/>
    <xf numFmtId="3" fontId="74" fillId="0" borderId="109" xfId="181" applyNumberFormat="1" applyFont="1" applyBorder="1" applyProtection="1"/>
    <xf numFmtId="0" fontId="70" fillId="0" borderId="118" xfId="0" applyFont="1" applyBorder="1"/>
    <xf numFmtId="3" fontId="71" fillId="0" borderId="85" xfId="181" applyNumberFormat="1" applyFont="1" applyFill="1" applyBorder="1" applyAlignment="1" applyProtection="1"/>
    <xf numFmtId="3" fontId="71" fillId="0" borderId="86" xfId="181" applyNumberFormat="1" applyFont="1" applyBorder="1" applyProtection="1"/>
    <xf numFmtId="10" fontId="71" fillId="0" borderId="84" xfId="3292" quotePrefix="1" applyNumberFormat="1" applyFont="1" applyFill="1" applyBorder="1" applyAlignment="1" applyProtection="1">
      <alignment horizontal="right"/>
    </xf>
    <xf numFmtId="167" fontId="71" fillId="0" borderId="119"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3" fontId="74" fillId="0" borderId="22" xfId="181" applyNumberFormat="1" applyFont="1" applyBorder="1" applyProtection="1"/>
    <xf numFmtId="3" fontId="74" fillId="0" borderId="10" xfId="181" applyNumberFormat="1" applyFont="1" applyBorder="1" applyProtection="1"/>
    <xf numFmtId="37" fontId="71" fillId="0" borderId="23" xfId="181" applyNumberFormat="1" applyFont="1" applyBorder="1" applyProtection="1"/>
    <xf numFmtId="3" fontId="71" fillId="0" borderId="21" xfId="181" applyNumberFormat="1" applyFont="1" applyBorder="1" applyProtection="1"/>
    <xf numFmtId="10" fontId="71" fillId="0" borderId="27" xfId="3292" quotePrefix="1" applyNumberFormat="1" applyFont="1" applyFill="1" applyBorder="1" applyAlignment="1" applyProtection="1">
      <alignment horizontal="right"/>
    </xf>
    <xf numFmtId="167" fontId="71" fillId="0" borderId="120"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98" xfId="0" applyFont="1" applyBorder="1" applyAlignment="1">
      <alignment horizontal="center"/>
    </xf>
    <xf numFmtId="0" fontId="71" fillId="0" borderId="31" xfId="0" applyFont="1" applyBorder="1" applyAlignment="1">
      <alignment horizontal="center" wrapText="1"/>
    </xf>
    <xf numFmtId="0" fontId="71" fillId="0" borderId="99" xfId="0" applyFont="1" applyBorder="1"/>
    <xf numFmtId="37" fontId="74" fillId="24" borderId="32"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57" xfId="0" quotePrefix="1" applyNumberFormat="1" applyFont="1" applyBorder="1" applyAlignment="1">
      <alignment horizontal="center"/>
    </xf>
    <xf numFmtId="0" fontId="116" fillId="0" borderId="0" xfId="0" applyFont="1"/>
    <xf numFmtId="4" fontId="67" fillId="0" borderId="57"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8" xfId="0" applyFont="1" applyFill="1" applyBorder="1" applyAlignment="1">
      <alignment horizontal="center" wrapText="1"/>
    </xf>
    <xf numFmtId="0" fontId="134" fillId="30" borderId="19" xfId="0" applyFont="1" applyFill="1" applyBorder="1" applyAlignment="1">
      <alignment horizontal="center" wrapText="1"/>
    </xf>
    <xf numFmtId="0" fontId="101" fillId="0" borderId="30" xfId="0" applyFont="1" applyBorder="1"/>
    <xf numFmtId="168" fontId="101" fillId="0" borderId="29" xfId="0" applyNumberFormat="1" applyFont="1" applyBorder="1"/>
    <xf numFmtId="37" fontId="100" fillId="26" borderId="139" xfId="0" applyNumberFormat="1" applyFont="1" applyFill="1" applyBorder="1" applyAlignment="1">
      <alignment horizontal="fill"/>
    </xf>
    <xf numFmtId="37" fontId="100" fillId="26" borderId="62"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8" xfId="0" applyNumberFormat="1" applyFont="1" applyFill="1" applyBorder="1" applyAlignment="1">
      <alignment horizontal="right"/>
    </xf>
    <xf numFmtId="165" fontId="101" fillId="35" borderId="18" xfId="181" applyNumberFormat="1" applyFont="1" applyFill="1" applyBorder="1" applyProtection="1"/>
    <xf numFmtId="0" fontId="101" fillId="0" borderId="51" xfId="0" applyFont="1" applyBorder="1"/>
    <xf numFmtId="0" fontId="101" fillId="0" borderId="29"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8" xfId="0" applyNumberFormat="1" applyFont="1" applyFill="1" applyBorder="1"/>
    <xf numFmtId="168" fontId="99" fillId="30" borderId="20" xfId="378" applyNumberFormat="1" applyFont="1" applyFill="1" applyBorder="1" applyProtection="1"/>
    <xf numFmtId="0" fontId="101" fillId="0" borderId="79" xfId="0" applyFont="1" applyBorder="1"/>
    <xf numFmtId="0" fontId="101" fillId="75" borderId="29" xfId="0" applyFont="1" applyFill="1" applyBorder="1"/>
    <xf numFmtId="37" fontId="99" fillId="30" borderId="24" xfId="0" applyNumberFormat="1" applyFont="1" applyFill="1" applyBorder="1"/>
    <xf numFmtId="37" fontId="137" fillId="30" borderId="24" xfId="0" applyNumberFormat="1" applyFont="1" applyFill="1" applyBorder="1"/>
    <xf numFmtId="168" fontId="99" fillId="30" borderId="18" xfId="378" applyNumberFormat="1" applyFont="1" applyFill="1" applyBorder="1" applyProtection="1"/>
    <xf numFmtId="37" fontId="137" fillId="76" borderId="18" xfId="0" applyNumberFormat="1" applyFont="1" applyFill="1" applyBorder="1" applyAlignment="1">
      <alignment horizontal="right"/>
    </xf>
    <xf numFmtId="37" fontId="99" fillId="30" borderId="42" xfId="0" applyNumberFormat="1" applyFont="1" applyFill="1" applyBorder="1"/>
    <xf numFmtId="37" fontId="137" fillId="30" borderId="42" xfId="0" applyNumberFormat="1" applyFont="1" applyFill="1" applyBorder="1"/>
    <xf numFmtId="168" fontId="99" fillId="30" borderId="42" xfId="378" applyNumberFormat="1" applyFont="1" applyFill="1" applyBorder="1" applyProtection="1"/>
    <xf numFmtId="37" fontId="99" fillId="73" borderId="18" xfId="0" applyNumberFormat="1" applyFont="1" applyFill="1" applyBorder="1" applyAlignment="1">
      <alignment horizontal="fill"/>
    </xf>
    <xf numFmtId="3" fontId="99" fillId="73" borderId="18" xfId="181" applyNumberFormat="1" applyFont="1" applyFill="1" applyBorder="1" applyAlignment="1" applyProtection="1">
      <alignment horizontal="fill"/>
    </xf>
    <xf numFmtId="44" fontId="137" fillId="30" borderId="18" xfId="378" applyFont="1" applyFill="1" applyBorder="1" applyProtection="1"/>
    <xf numFmtId="37" fontId="99" fillId="73" borderId="76" xfId="0" applyNumberFormat="1" applyFont="1" applyFill="1" applyBorder="1" applyAlignment="1">
      <alignment horizontal="fill"/>
    </xf>
    <xf numFmtId="37" fontId="99" fillId="73" borderId="77"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8" xfId="0" applyFont="1" applyFill="1" applyBorder="1" applyAlignment="1">
      <alignment horizontal="center"/>
    </xf>
    <xf numFmtId="0" fontId="70" fillId="72" borderId="18" xfId="0" applyFont="1" applyFill="1" applyBorder="1"/>
    <xf numFmtId="0" fontId="68" fillId="72" borderId="18" xfId="0" applyFont="1" applyFill="1" applyBorder="1"/>
    <xf numFmtId="0" fontId="68" fillId="30" borderId="18" xfId="530" applyFont="1" applyFill="1" applyBorder="1"/>
    <xf numFmtId="0" fontId="70" fillId="0" borderId="18" xfId="0" applyFont="1" applyBorder="1"/>
    <xf numFmtId="168" fontId="70" fillId="0" borderId="18" xfId="0" applyNumberFormat="1" applyFont="1" applyBorder="1" applyAlignment="1">
      <alignment horizontal="right"/>
    </xf>
    <xf numFmtId="0" fontId="70" fillId="29" borderId="18" xfId="0" applyFont="1" applyFill="1" applyBorder="1"/>
    <xf numFmtId="0" fontId="70" fillId="30" borderId="18" xfId="0" applyFont="1" applyFill="1" applyBorder="1"/>
    <xf numFmtId="0" fontId="70" fillId="30" borderId="95" xfId="0" applyFont="1" applyFill="1" applyBorder="1" applyAlignment="1">
      <alignment horizontal="center" wrapText="1"/>
    </xf>
    <xf numFmtId="0" fontId="70" fillId="30" borderId="19" xfId="0" applyFont="1" applyFill="1" applyBorder="1" applyAlignment="1">
      <alignment horizontal="center" wrapText="1"/>
    </xf>
    <xf numFmtId="0" fontId="68" fillId="73" borderId="95" xfId="530" applyFont="1" applyFill="1" applyBorder="1"/>
    <xf numFmtId="0" fontId="68" fillId="73" borderId="28" xfId="530" applyFont="1" applyFill="1" applyBorder="1"/>
    <xf numFmtId="4" fontId="68" fillId="73" borderId="95" xfId="530" applyNumberFormat="1" applyFont="1" applyFill="1" applyBorder="1"/>
    <xf numFmtId="3" fontId="68" fillId="73" borderId="95" xfId="530" applyNumberFormat="1" applyFont="1" applyFill="1" applyBorder="1"/>
    <xf numFmtId="0" fontId="68" fillId="0" borderId="95" xfId="0" applyFont="1" applyBorder="1"/>
    <xf numFmtId="0" fontId="70" fillId="0" borderId="95" xfId="0" applyFont="1" applyBorder="1"/>
    <xf numFmtId="3" fontId="70" fillId="0" borderId="95" xfId="0" applyNumberFormat="1" applyFont="1" applyBorder="1"/>
    <xf numFmtId="4" fontId="70" fillId="0" borderId="95" xfId="0" applyNumberFormat="1" applyFont="1" applyBorder="1"/>
    <xf numFmtId="168" fontId="70" fillId="0" borderId="95" xfId="0" applyNumberFormat="1" applyFont="1" applyBorder="1"/>
    <xf numFmtId="0" fontId="70" fillId="30" borderId="18" xfId="0" applyFont="1" applyFill="1" applyBorder="1" applyAlignment="1">
      <alignment horizontal="center" wrapText="1"/>
    </xf>
    <xf numFmtId="3" fontId="68" fillId="0" borderId="0" xfId="181" applyNumberFormat="1" applyFont="1" applyBorder="1" applyProtection="1"/>
    <xf numFmtId="0" fontId="68" fillId="73" borderId="18" xfId="530" applyFont="1" applyFill="1" applyBorder="1"/>
    <xf numFmtId="4" fontId="68" fillId="73" borderId="18" xfId="530" applyNumberFormat="1" applyFont="1" applyFill="1" applyBorder="1"/>
    <xf numFmtId="3" fontId="68" fillId="73" borderId="18" xfId="530" applyNumberFormat="1" applyFont="1" applyFill="1" applyBorder="1"/>
    <xf numFmtId="3" fontId="70" fillId="0" borderId="0" xfId="0" applyNumberFormat="1" applyFont="1"/>
    <xf numFmtId="168" fontId="70" fillId="0" borderId="18" xfId="0" applyNumberFormat="1" applyFont="1" applyBorder="1"/>
    <xf numFmtId="0" fontId="68" fillId="30" borderId="18" xfId="0" applyFont="1" applyFill="1" applyBorder="1" applyAlignment="1">
      <alignment horizontal="center"/>
    </xf>
    <xf numFmtId="0" fontId="68" fillId="0" borderId="18" xfId="0" applyFont="1" applyBorder="1"/>
    <xf numFmtId="3" fontId="70" fillId="0" borderId="18" xfId="0" applyNumberFormat="1" applyFont="1" applyBorder="1"/>
    <xf numFmtId="4" fontId="70" fillId="0" borderId="18" xfId="0" applyNumberFormat="1" applyFont="1" applyBorder="1"/>
    <xf numFmtId="168" fontId="70" fillId="0" borderId="18" xfId="181" applyNumberFormat="1" applyFont="1" applyBorder="1" applyProtection="1"/>
    <xf numFmtId="0" fontId="70" fillId="30" borderId="42" xfId="0" applyFont="1" applyFill="1" applyBorder="1" applyAlignment="1">
      <alignment horizontal="center" wrapText="1"/>
    </xf>
    <xf numFmtId="0" fontId="70" fillId="0" borderId="24"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4" fontId="68" fillId="0" borderId="16" xfId="181" applyNumberFormat="1" applyFont="1" applyBorder="1" applyProtection="1"/>
    <xf numFmtId="4" fontId="68" fillId="30" borderId="77" xfId="181" applyNumberFormat="1" applyFont="1" applyFill="1" applyBorder="1" applyProtection="1"/>
    <xf numFmtId="4" fontId="68" fillId="0" borderId="24" xfId="181" applyNumberFormat="1" applyFont="1" applyBorder="1" applyProtection="1"/>
    <xf numFmtId="0" fontId="70" fillId="30" borderId="76" xfId="0" applyFont="1" applyFill="1" applyBorder="1"/>
    <xf numFmtId="4" fontId="68" fillId="0" borderId="29" xfId="181" applyNumberFormat="1" applyFont="1" applyBorder="1" applyProtection="1"/>
    <xf numFmtId="4" fontId="68" fillId="0" borderId="0" xfId="0" applyNumberFormat="1" applyFont="1"/>
    <xf numFmtId="4" fontId="74" fillId="0" borderId="29" xfId="0" applyNumberFormat="1" applyFont="1" applyBorder="1"/>
    <xf numFmtId="4" fontId="68" fillId="0" borderId="29" xfId="181" applyNumberFormat="1" applyFont="1" applyFill="1" applyBorder="1" applyProtection="1"/>
    <xf numFmtId="0" fontId="70" fillId="30" borderId="77" xfId="0" applyFont="1" applyFill="1" applyBorder="1"/>
    <xf numFmtId="4" fontId="143" fillId="0" borderId="29" xfId="0" applyNumberFormat="1" applyFont="1" applyBorder="1"/>
    <xf numFmtId="4" fontId="70" fillId="0" borderId="0" xfId="0" applyNumberFormat="1" applyFont="1"/>
    <xf numFmtId="10" fontId="68" fillId="0" borderId="0" xfId="0" applyNumberFormat="1" applyFont="1"/>
    <xf numFmtId="168" fontId="70" fillId="30" borderId="78" xfId="0" applyNumberFormat="1" applyFont="1" applyFill="1" applyBorder="1"/>
    <xf numFmtId="0" fontId="70" fillId="30" borderId="77" xfId="0" applyFont="1" applyFill="1" applyBorder="1" applyAlignment="1">
      <alignment horizontal="center"/>
    </xf>
    <xf numFmtId="168" fontId="70" fillId="30" borderId="77" xfId="0" applyNumberFormat="1" applyFont="1" applyFill="1" applyBorder="1"/>
    <xf numFmtId="168" fontId="70" fillId="30" borderId="18" xfId="0" applyNumberFormat="1" applyFont="1" applyFill="1" applyBorder="1"/>
    <xf numFmtId="0" fontId="70" fillId="0" borderId="151" xfId="0" applyFont="1" applyBorder="1"/>
    <xf numFmtId="4" fontId="70" fillId="30" borderId="18" xfId="0" applyNumberFormat="1" applyFont="1" applyFill="1" applyBorder="1"/>
    <xf numFmtId="4" fontId="68" fillId="0" borderId="51" xfId="181" applyNumberFormat="1" applyFont="1" applyFill="1" applyBorder="1" applyProtection="1"/>
    <xf numFmtId="4" fontId="68" fillId="0" borderId="16" xfId="181" applyNumberFormat="1" applyFont="1" applyFill="1" applyBorder="1" applyProtection="1"/>
    <xf numFmtId="4" fontId="68" fillId="0" borderId="51" xfId="181" applyNumberFormat="1" applyFont="1" applyBorder="1" applyProtection="1"/>
    <xf numFmtId="4" fontId="70" fillId="30" borderId="18" xfId="181" applyNumberFormat="1" applyFont="1" applyFill="1" applyBorder="1" applyAlignment="1" applyProtection="1">
      <alignment horizontal="center"/>
    </xf>
    <xf numFmtId="4" fontId="68" fillId="30" borderId="18" xfId="181" applyNumberFormat="1" applyFont="1" applyFill="1" applyBorder="1" applyProtection="1"/>
    <xf numFmtId="4" fontId="68" fillId="0" borderId="152" xfId="181" applyNumberFormat="1" applyFont="1" applyBorder="1" applyProtection="1"/>
    <xf numFmtId="0" fontId="70" fillId="71" borderId="24" xfId="0" applyFont="1" applyFill="1" applyBorder="1"/>
    <xf numFmtId="0" fontId="70" fillId="71" borderId="18" xfId="0" applyFont="1" applyFill="1" applyBorder="1"/>
    <xf numFmtId="0" fontId="96" fillId="0" borderId="24" xfId="0" applyFont="1" applyBorder="1"/>
    <xf numFmtId="168" fontId="144" fillId="0" borderId="16" xfId="0" applyNumberFormat="1" applyFont="1" applyBorder="1"/>
    <xf numFmtId="3" fontId="144" fillId="0" borderId="16" xfId="0" applyNumberFormat="1" applyFont="1" applyBorder="1"/>
    <xf numFmtId="0" fontId="96" fillId="30" borderId="76" xfId="0" applyFont="1" applyFill="1" applyBorder="1"/>
    <xf numFmtId="0" fontId="96" fillId="30" borderId="18" xfId="0" applyFont="1" applyFill="1" applyBorder="1"/>
    <xf numFmtId="0" fontId="96" fillId="30" borderId="77" xfId="0" applyFont="1" applyFill="1" applyBorder="1"/>
    <xf numFmtId="0" fontId="100" fillId="0" borderId="0" xfId="0" applyFont="1"/>
    <xf numFmtId="166" fontId="100" fillId="0" borderId="0" xfId="0" applyNumberFormat="1" applyFont="1"/>
    <xf numFmtId="166" fontId="100" fillId="0" borderId="96" xfId="0" applyNumberFormat="1" applyFont="1" applyBorder="1"/>
    <xf numFmtId="3" fontId="68" fillId="77" borderId="38" xfId="0" applyNumberFormat="1" applyFont="1" applyFill="1" applyBorder="1"/>
    <xf numFmtId="0" fontId="68" fillId="0" borderId="147" xfId="0" applyFont="1" applyBorder="1"/>
    <xf numFmtId="166" fontId="100" fillId="32" borderId="76"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4"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54" xfId="0" applyFont="1" applyBorder="1" applyAlignment="1">
      <alignment vertical="center"/>
    </xf>
    <xf numFmtId="0" fontId="145" fillId="0" borderId="153" xfId="0" applyFont="1" applyBorder="1" applyAlignment="1">
      <alignment vertical="center"/>
    </xf>
    <xf numFmtId="0" fontId="100" fillId="0" borderId="33" xfId="0" applyFont="1" applyBorder="1"/>
    <xf numFmtId="10" fontId="71" fillId="36" borderId="62" xfId="495" applyNumberFormat="1" applyFont="1" applyFill="1" applyBorder="1" applyAlignment="1">
      <alignment horizontal="center"/>
    </xf>
    <xf numFmtId="0" fontId="67" fillId="0" borderId="18" xfId="0" applyFont="1" applyBorder="1" applyAlignment="1">
      <alignment wrapText="1"/>
    </xf>
    <xf numFmtId="168" fontId="100" fillId="0" borderId="0" xfId="0" applyNumberFormat="1" applyFont="1"/>
    <xf numFmtId="166" fontId="68" fillId="36" borderId="51" xfId="0" applyNumberFormat="1" applyFont="1" applyFill="1" applyBorder="1"/>
    <xf numFmtId="166" fontId="100" fillId="36" borderId="77" xfId="0" applyNumberFormat="1" applyFont="1" applyFill="1" applyBorder="1"/>
    <xf numFmtId="166" fontId="100" fillId="36" borderId="18"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39" xfId="0" applyNumberFormat="1" applyFont="1" applyFill="1" applyBorder="1"/>
    <xf numFmtId="166" fontId="100" fillId="36" borderId="29" xfId="0" applyNumberFormat="1" applyFont="1" applyFill="1" applyBorder="1"/>
    <xf numFmtId="166" fontId="68" fillId="36" borderId="16" xfId="0" applyNumberFormat="1" applyFont="1" applyFill="1" applyBorder="1"/>
    <xf numFmtId="168" fontId="100" fillId="36" borderId="146" xfId="0" applyNumberFormat="1" applyFont="1" applyFill="1" applyBorder="1"/>
    <xf numFmtId="166" fontId="100" fillId="32" borderId="18" xfId="0" applyNumberFormat="1" applyFont="1" applyFill="1" applyBorder="1"/>
    <xf numFmtId="166" fontId="100" fillId="32" borderId="58" xfId="0" applyNumberFormat="1" applyFont="1" applyFill="1" applyBorder="1"/>
    <xf numFmtId="166" fontId="100" fillId="32" borderId="78" xfId="0" applyNumberFormat="1" applyFont="1" applyFill="1" applyBorder="1"/>
    <xf numFmtId="166" fontId="100" fillId="32" borderId="13" xfId="0" applyNumberFormat="1" applyFont="1" applyFill="1" applyBorder="1"/>
    <xf numFmtId="166" fontId="100" fillId="32" borderId="138" xfId="0" applyNumberFormat="1" applyFont="1" applyFill="1" applyBorder="1"/>
    <xf numFmtId="0" fontId="145" fillId="0" borderId="155" xfId="0" applyFont="1" applyBorder="1" applyAlignment="1">
      <alignment vertical="center"/>
    </xf>
    <xf numFmtId="165" fontId="68" fillId="0" borderId="0" xfId="181" applyNumberFormat="1" applyFont="1"/>
    <xf numFmtId="165" fontId="68" fillId="0" borderId="0" xfId="0" applyNumberFormat="1" applyFont="1"/>
    <xf numFmtId="168" fontId="68" fillId="0" borderId="63" xfId="0" applyNumberFormat="1" applyFont="1" applyBorder="1"/>
    <xf numFmtId="168" fontId="68" fillId="0" borderId="31" xfId="0" applyNumberFormat="1" applyFont="1" applyBorder="1"/>
    <xf numFmtId="168" fontId="100" fillId="0" borderId="32" xfId="0" applyNumberFormat="1" applyFont="1" applyBorder="1"/>
    <xf numFmtId="168" fontId="100" fillId="0" borderId="41" xfId="0" applyNumberFormat="1" applyFont="1" applyBorder="1"/>
    <xf numFmtId="0" fontId="103" fillId="30" borderId="18" xfId="0" applyFont="1" applyFill="1" applyBorder="1" applyAlignment="1">
      <alignment horizontal="center"/>
    </xf>
    <xf numFmtId="0" fontId="103" fillId="30" borderId="18" xfId="0" applyFont="1" applyFill="1" applyBorder="1" applyAlignment="1">
      <alignment horizontal="center" wrapText="1"/>
    </xf>
    <xf numFmtId="0" fontId="96" fillId="0" borderId="29" xfId="0" applyFont="1" applyBorder="1"/>
    <xf numFmtId="0" fontId="96" fillId="0" borderId="29" xfId="0" applyFont="1" applyBorder="1" applyAlignment="1">
      <alignment horizontal="center"/>
    </xf>
    <xf numFmtId="0" fontId="120" fillId="73" borderId="18" xfId="0" applyFont="1" applyFill="1" applyBorder="1"/>
    <xf numFmtId="0" fontId="96" fillId="0" borderId="15" xfId="0" applyFont="1" applyBorder="1" applyAlignment="1">
      <alignment horizontal="center"/>
    </xf>
    <xf numFmtId="0" fontId="103" fillId="29" borderId="18" xfId="0" applyFont="1" applyFill="1" applyBorder="1"/>
    <xf numFmtId="0" fontId="103" fillId="0" borderId="18" xfId="0" applyFont="1" applyBorder="1"/>
    <xf numFmtId="0" fontId="103" fillId="0" borderId="20" xfId="0" applyFont="1" applyBorder="1"/>
    <xf numFmtId="3" fontId="119" fillId="0" borderId="0" xfId="0" applyNumberFormat="1" applyFont="1"/>
    <xf numFmtId="168" fontId="100" fillId="32" borderId="144" xfId="0" applyNumberFormat="1" applyFont="1" applyFill="1" applyBorder="1"/>
    <xf numFmtId="168" fontId="100" fillId="32" borderId="145"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29" xfId="0" applyNumberFormat="1" applyFont="1" applyFill="1" applyBorder="1" applyProtection="1">
      <protection locked="0"/>
    </xf>
    <xf numFmtId="0" fontId="68" fillId="30" borderId="18" xfId="0" applyFont="1" applyFill="1" applyBorder="1"/>
    <xf numFmtId="0" fontId="68" fillId="30" borderId="77" xfId="0" applyFont="1" applyFill="1" applyBorder="1"/>
    <xf numFmtId="3" fontId="151" fillId="32" borderId="61" xfId="0" applyNumberFormat="1" applyFont="1" applyFill="1" applyBorder="1" applyProtection="1">
      <protection locked="0"/>
    </xf>
    <xf numFmtId="3" fontId="151" fillId="32" borderId="60" xfId="0" applyNumberFormat="1" applyFont="1" applyFill="1" applyBorder="1" applyProtection="1">
      <protection locked="0"/>
    </xf>
    <xf numFmtId="3" fontId="151" fillId="32" borderId="24"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4" xfId="0" applyNumberFormat="1" applyFont="1" applyFill="1" applyBorder="1" applyProtection="1">
      <protection locked="0"/>
    </xf>
    <xf numFmtId="3" fontId="151" fillId="32" borderId="0" xfId="0" applyNumberFormat="1" applyFont="1" applyFill="1" applyProtection="1">
      <protection locked="0"/>
    </xf>
    <xf numFmtId="3" fontId="151" fillId="32" borderId="42" xfId="0" applyNumberFormat="1" applyFont="1" applyFill="1" applyBorder="1" applyProtection="1">
      <protection locked="0"/>
    </xf>
    <xf numFmtId="168" fontId="152" fillId="32" borderId="29"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1"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46" xfId="0" applyNumberFormat="1" applyFont="1" applyFill="1" applyBorder="1"/>
    <xf numFmtId="166" fontId="68" fillId="32" borderId="45" xfId="0" applyNumberFormat="1" applyFont="1" applyFill="1" applyBorder="1"/>
    <xf numFmtId="171" fontId="68" fillId="32" borderId="136" xfId="182" applyNumberFormat="1" applyFont="1" applyFill="1" applyBorder="1"/>
    <xf numFmtId="171" fontId="68" fillId="32" borderId="46" xfId="182" applyNumberFormat="1" applyFont="1" applyFill="1" applyBorder="1"/>
    <xf numFmtId="171" fontId="68" fillId="32" borderId="45" xfId="182" applyNumberFormat="1" applyFont="1" applyFill="1" applyBorder="1"/>
    <xf numFmtId="171" fontId="68" fillId="32" borderId="0" xfId="182" applyNumberFormat="1" applyFont="1" applyFill="1"/>
    <xf numFmtId="169" fontId="74" fillId="32" borderId="24" xfId="17654" applyNumberFormat="1" applyFont="1" applyFill="1" applyBorder="1"/>
    <xf numFmtId="166" fontId="68" fillId="32" borderId="29" xfId="182" applyNumberFormat="1" applyFont="1" applyFill="1" applyBorder="1"/>
    <xf numFmtId="166" fontId="74" fillId="32" borderId="29"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78" xfId="0" applyFont="1" applyFill="1" applyBorder="1"/>
    <xf numFmtId="0" fontId="120" fillId="73" borderId="76" xfId="0" applyFont="1" applyFill="1" applyBorder="1"/>
    <xf numFmtId="0" fontId="96" fillId="0" borderId="139" xfId="0" applyFont="1" applyBorder="1" applyAlignment="1">
      <alignment horizontal="center"/>
    </xf>
    <xf numFmtId="0" fontId="103" fillId="29" borderId="76" xfId="0" applyFont="1" applyFill="1" applyBorder="1"/>
    <xf numFmtId="0" fontId="103" fillId="29" borderId="78" xfId="0" applyFont="1" applyFill="1" applyBorder="1"/>
    <xf numFmtId="0" fontId="103" fillId="29" borderId="77" xfId="0" applyFont="1" applyFill="1" applyBorder="1"/>
    <xf numFmtId="0" fontId="103" fillId="0" borderId="76" xfId="0" applyFont="1" applyBorder="1"/>
    <xf numFmtId="168" fontId="103" fillId="0" borderId="77"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57" xfId="0" applyNumberFormat="1" applyFont="1" applyBorder="1"/>
    <xf numFmtId="37" fontId="103" fillId="0" borderId="157" xfId="0" applyNumberFormat="1" applyFont="1" applyBorder="1"/>
    <xf numFmtId="37" fontId="123" fillId="0" borderId="157" xfId="0" applyNumberFormat="1" applyFont="1" applyBorder="1"/>
    <xf numFmtId="37" fontId="123" fillId="0" borderId="0" xfId="0" applyNumberFormat="1" applyFont="1"/>
    <xf numFmtId="37" fontId="96" fillId="24" borderId="157"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09" xfId="0" applyNumberFormat="1" applyFont="1" applyFill="1" applyBorder="1" applyAlignment="1">
      <alignment horizontal="right"/>
    </xf>
    <xf numFmtId="0" fontId="96" fillId="0" borderId="157" xfId="0" applyFont="1" applyBorder="1"/>
    <xf numFmtId="37" fontId="128" fillId="0" borderId="0" xfId="0" applyNumberFormat="1" applyFont="1"/>
    <xf numFmtId="37" fontId="103" fillId="0" borderId="157" xfId="0" applyNumberFormat="1" applyFont="1" applyBorder="1" applyAlignment="1">
      <alignment horizontal="fill"/>
    </xf>
    <xf numFmtId="37" fontId="96" fillId="25" borderId="157" xfId="0" applyNumberFormat="1" applyFont="1" applyFill="1" applyBorder="1"/>
    <xf numFmtId="0" fontId="103" fillId="0" borderId="157" xfId="0" applyFont="1" applyBorder="1"/>
    <xf numFmtId="37" fontId="103" fillId="0" borderId="158" xfId="0" applyNumberFormat="1" applyFont="1" applyBorder="1"/>
    <xf numFmtId="37" fontId="96" fillId="0" borderId="57" xfId="0" applyNumberFormat="1" applyFont="1" applyBorder="1"/>
    <xf numFmtId="37" fontId="96" fillId="0" borderId="57" xfId="0" applyNumberFormat="1" applyFont="1" applyBorder="1" applyAlignment="1">
      <alignment horizontal="right"/>
    </xf>
    <xf numFmtId="37" fontId="103" fillId="0" borderId="161" xfId="0" applyNumberFormat="1" applyFont="1" applyBorder="1"/>
    <xf numFmtId="37" fontId="103" fillId="0" borderId="160" xfId="0" applyNumberFormat="1" applyFont="1" applyBorder="1"/>
    <xf numFmtId="37" fontId="103" fillId="0" borderId="160" xfId="0" applyNumberFormat="1" applyFont="1" applyBorder="1" applyAlignment="1">
      <alignment horizontal="center" wrapText="1"/>
    </xf>
    <xf numFmtId="37" fontId="103" fillId="0" borderId="156" xfId="0" applyNumberFormat="1" applyFont="1" applyBorder="1" applyAlignment="1">
      <alignment horizontal="center" wrapText="1"/>
    </xf>
    <xf numFmtId="37" fontId="96" fillId="0" borderId="163" xfId="0" applyNumberFormat="1" applyFont="1" applyBorder="1" applyAlignment="1">
      <alignment horizontal="right"/>
    </xf>
    <xf numFmtId="5" fontId="124" fillId="74" borderId="159" xfId="0" applyNumberFormat="1" applyFont="1" applyFill="1" applyBorder="1"/>
    <xf numFmtId="37" fontId="103" fillId="0" borderId="164" xfId="0" applyNumberFormat="1" applyFont="1" applyBorder="1"/>
    <xf numFmtId="37" fontId="96" fillId="0" borderId="165" xfId="0" applyNumberFormat="1" applyFont="1" applyBorder="1"/>
    <xf numFmtId="37" fontId="96" fillId="0" borderId="166" xfId="0" applyNumberFormat="1" applyFont="1" applyBorder="1" applyAlignment="1">
      <alignment horizontal="right"/>
    </xf>
    <xf numFmtId="5" fontId="103" fillId="74" borderId="166" xfId="0" applyNumberFormat="1" applyFont="1" applyFill="1" applyBorder="1"/>
    <xf numFmtId="5" fontId="124" fillId="74" borderId="167" xfId="0" applyNumberFormat="1" applyFont="1" applyFill="1" applyBorder="1" applyAlignment="1">
      <alignment horizontal="right"/>
    </xf>
    <xf numFmtId="0" fontId="129" fillId="0" borderId="0" xfId="0" applyFont="1"/>
    <xf numFmtId="0" fontId="96" fillId="0" borderId="57" xfId="0" applyFont="1" applyBorder="1"/>
    <xf numFmtId="37" fontId="103" fillId="30" borderId="161" xfId="0" applyNumberFormat="1" applyFont="1" applyFill="1" applyBorder="1"/>
    <xf numFmtId="37" fontId="96" fillId="30" borderId="160" xfId="0" applyNumberFormat="1" applyFont="1" applyFill="1" applyBorder="1"/>
    <xf numFmtId="37" fontId="96" fillId="30" borderId="162" xfId="0" applyNumberFormat="1" applyFont="1" applyFill="1" applyBorder="1"/>
    <xf numFmtId="37" fontId="96" fillId="30" borderId="156" xfId="0" applyNumberFormat="1" applyFont="1" applyFill="1" applyBorder="1"/>
    <xf numFmtId="0" fontId="160" fillId="0" borderId="0" xfId="0" applyFont="1" applyAlignment="1">
      <alignment vertical="top" wrapText="1"/>
    </xf>
    <xf numFmtId="0" fontId="70" fillId="0" borderId="42" xfId="0" applyFont="1" applyBorder="1" applyAlignment="1">
      <alignment horizontal="center"/>
    </xf>
    <xf numFmtId="0" fontId="70" fillId="30" borderId="42" xfId="0" applyFont="1" applyFill="1" applyBorder="1"/>
    <xf numFmtId="0" fontId="70" fillId="71" borderId="42" xfId="0" applyFont="1" applyFill="1" applyBorder="1"/>
    <xf numFmtId="4" fontId="143" fillId="0" borderId="42" xfId="0" applyNumberFormat="1" applyFont="1" applyBorder="1"/>
    <xf numFmtId="0" fontId="68" fillId="0" borderId="168" xfId="0" applyFont="1" applyBorder="1"/>
    <xf numFmtId="0" fontId="68" fillId="0" borderId="168" xfId="0" applyFont="1" applyBorder="1" applyAlignment="1">
      <alignment horizontal="center"/>
    </xf>
    <xf numFmtId="3" fontId="150" fillId="32" borderId="168" xfId="17654" applyNumberFormat="1" applyFont="1" applyFill="1" applyBorder="1" applyAlignment="1" applyProtection="1">
      <alignment horizontal="right"/>
      <protection locked="0"/>
    </xf>
    <xf numFmtId="4" fontId="68" fillId="0" borderId="168" xfId="0" applyNumberFormat="1" applyFont="1" applyBorder="1"/>
    <xf numFmtId="3" fontId="70" fillId="0" borderId="78" xfId="0" applyNumberFormat="1" applyFont="1" applyBorder="1"/>
    <xf numFmtId="0" fontId="68" fillId="0" borderId="29" xfId="0" applyFont="1" applyBorder="1"/>
    <xf numFmtId="0" fontId="68" fillId="0" borderId="29" xfId="0" applyFont="1" applyBorder="1" applyAlignment="1">
      <alignment horizontal="center"/>
    </xf>
    <xf numFmtId="3" fontId="150" fillId="32" borderId="29" xfId="0" applyNumberFormat="1" applyFont="1" applyFill="1" applyBorder="1" applyAlignment="1" applyProtection="1">
      <alignment horizontal="right"/>
      <protection locked="0"/>
    </xf>
    <xf numFmtId="4" fontId="68" fillId="0" borderId="29" xfId="0" applyNumberFormat="1" applyFont="1" applyBorder="1"/>
    <xf numFmtId="168" fontId="68" fillId="0" borderId="29" xfId="0" applyNumberFormat="1" applyFont="1" applyBorder="1"/>
    <xf numFmtId="168" fontId="70" fillId="0" borderId="62" xfId="0" applyNumberFormat="1" applyFont="1" applyBorder="1"/>
    <xf numFmtId="0" fontId="68" fillId="72" borderId="76" xfId="0" applyFont="1" applyFill="1" applyBorder="1"/>
    <xf numFmtId="0" fontId="68" fillId="72" borderId="77" xfId="0" applyFont="1" applyFill="1" applyBorder="1"/>
    <xf numFmtId="0" fontId="68" fillId="30" borderId="76" xfId="530" applyFont="1" applyFill="1" applyBorder="1"/>
    <xf numFmtId="0" fontId="68" fillId="30" borderId="77" xfId="530" applyFont="1" applyFill="1" applyBorder="1"/>
    <xf numFmtId="0" fontId="70" fillId="29" borderId="76" xfId="0" applyFont="1" applyFill="1" applyBorder="1"/>
    <xf numFmtId="0" fontId="70" fillId="29" borderId="77" xfId="0" applyFont="1" applyFill="1" applyBorder="1"/>
    <xf numFmtId="0" fontId="96" fillId="0" borderId="42" xfId="0" applyFont="1" applyBorder="1"/>
    <xf numFmtId="0" fontId="103" fillId="0" borderId="42" xfId="0" applyFont="1" applyBorder="1"/>
    <xf numFmtId="0" fontId="134" fillId="30" borderId="77" xfId="0" applyFont="1" applyFill="1" applyBorder="1" applyAlignment="1">
      <alignment horizontal="center" wrapText="1"/>
    </xf>
    <xf numFmtId="0" fontId="101" fillId="0" borderId="51" xfId="0" applyFont="1" applyBorder="1" applyAlignment="1">
      <alignment horizontal="center"/>
    </xf>
    <xf numFmtId="37" fontId="137" fillId="76" borderId="42" xfId="0" applyNumberFormat="1" applyFont="1" applyFill="1" applyBorder="1" applyAlignment="1">
      <alignment horizontal="right"/>
    </xf>
    <xf numFmtId="37" fontId="100" fillId="26" borderId="42" xfId="0" applyNumberFormat="1" applyFont="1" applyFill="1" applyBorder="1" applyAlignment="1">
      <alignment horizontal="fill"/>
    </xf>
    <xf numFmtId="165" fontId="100" fillId="26" borderId="42" xfId="181" applyNumberFormat="1" applyFont="1" applyFill="1" applyBorder="1" applyAlignment="1" applyProtection="1">
      <alignment horizontal="fill"/>
    </xf>
    <xf numFmtId="0" fontId="70" fillId="0" borderId="170" xfId="0" applyFont="1" applyBorder="1" applyAlignment="1">
      <alignment horizontal="center"/>
    </xf>
    <xf numFmtId="166" fontId="68" fillId="32" borderId="171" xfId="0" applyNumberFormat="1" applyFont="1" applyFill="1" applyBorder="1"/>
    <xf numFmtId="166" fontId="68" fillId="36" borderId="170" xfId="0" applyNumberFormat="1" applyFont="1" applyFill="1" applyBorder="1"/>
    <xf numFmtId="4" fontId="68" fillId="0" borderId="170" xfId="181" applyNumberFormat="1" applyFont="1" applyBorder="1" applyProtection="1"/>
    <xf numFmtId="37" fontId="96" fillId="0" borderId="172" xfId="0" applyNumberFormat="1" applyFont="1" applyBorder="1"/>
    <xf numFmtId="37" fontId="96" fillId="0" borderId="173" xfId="0" applyNumberFormat="1" applyFont="1" applyBorder="1" applyAlignment="1">
      <alignment horizontal="right"/>
    </xf>
    <xf numFmtId="37" fontId="96" fillId="0" borderId="174" xfId="0" applyNumberFormat="1" applyFont="1" applyBorder="1"/>
    <xf numFmtId="0" fontId="96" fillId="0" borderId="172" xfId="0" applyFont="1" applyBorder="1"/>
    <xf numFmtId="0" fontId="96" fillId="0" borderId="173" xfId="0" applyFont="1" applyBorder="1" applyAlignment="1">
      <alignment horizontal="right"/>
    </xf>
    <xf numFmtId="37" fontId="103" fillId="0" borderId="175" xfId="0" applyNumberFormat="1" applyFont="1" applyBorder="1" applyAlignment="1">
      <alignment horizontal="fill"/>
    </xf>
    <xf numFmtId="37" fontId="103" fillId="24" borderId="175" xfId="0" applyNumberFormat="1" applyFont="1" applyFill="1" applyBorder="1" applyAlignment="1">
      <alignment horizontal="fill"/>
    </xf>
    <xf numFmtId="37" fontId="103" fillId="24" borderId="176" xfId="0" applyNumberFormat="1" applyFont="1" applyFill="1" applyBorder="1" applyAlignment="1">
      <alignment horizontal="fill"/>
    </xf>
    <xf numFmtId="170" fontId="70" fillId="32" borderId="172" xfId="181" applyNumberFormat="1" applyFont="1" applyFill="1" applyBorder="1"/>
    <xf numFmtId="170" fontId="70" fillId="0" borderId="172" xfId="181" applyNumberFormat="1" applyFont="1" applyFill="1" applyBorder="1"/>
    <xf numFmtId="0" fontId="70" fillId="0" borderId="172" xfId="0" applyFont="1" applyBorder="1" applyAlignment="1">
      <alignment horizontal="center" wrapText="1"/>
    </xf>
    <xf numFmtId="5" fontId="68" fillId="0" borderId="172" xfId="181" applyNumberFormat="1" applyFont="1" applyFill="1" applyBorder="1" applyProtection="1"/>
    <xf numFmtId="5" fontId="68" fillId="0" borderId="172" xfId="181" applyNumberFormat="1" applyFont="1" applyBorder="1" applyProtection="1"/>
    <xf numFmtId="5" fontId="68" fillId="0" borderId="172" xfId="181" quotePrefix="1" applyNumberFormat="1" applyFont="1" applyFill="1" applyBorder="1" applyProtection="1"/>
    <xf numFmtId="5" fontId="68" fillId="0" borderId="172" xfId="0" applyNumberFormat="1" applyFont="1" applyBorder="1"/>
    <xf numFmtId="10" fontId="70" fillId="0" borderId="172" xfId="3292" applyNumberFormat="1" applyFont="1" applyBorder="1" applyProtection="1"/>
    <xf numFmtId="0" fontId="70" fillId="0" borderId="172" xfId="0" applyFont="1" applyBorder="1"/>
    <xf numFmtId="165" fontId="68" fillId="0" borderId="172" xfId="192" applyNumberFormat="1" applyFont="1" applyBorder="1" applyProtection="1"/>
    <xf numFmtId="37" fontId="96" fillId="0" borderId="175" xfId="0" applyNumberFormat="1" applyFont="1" applyBorder="1" applyAlignment="1">
      <alignment horizontal="right"/>
    </xf>
    <xf numFmtId="0" fontId="73" fillId="0" borderId="0" xfId="0" applyFont="1"/>
    <xf numFmtId="166" fontId="68" fillId="69" borderId="177" xfId="0" applyNumberFormat="1" applyFont="1" applyFill="1" applyBorder="1"/>
    <xf numFmtId="166" fontId="68" fillId="32" borderId="177" xfId="0" applyNumberFormat="1" applyFont="1" applyFill="1" applyBorder="1"/>
    <xf numFmtId="0" fontId="96" fillId="0" borderId="178" xfId="0" applyFont="1" applyBorder="1"/>
    <xf numFmtId="37" fontId="96" fillId="0" borderId="181" xfId="0" applyNumberFormat="1" applyFont="1" applyBorder="1"/>
    <xf numFmtId="37" fontId="96" fillId="30" borderId="178" xfId="0" applyNumberFormat="1" applyFont="1" applyFill="1" applyBorder="1"/>
    <xf numFmtId="0" fontId="101" fillId="0" borderId="178" xfId="0" applyFont="1" applyBorder="1"/>
    <xf numFmtId="0" fontId="63" fillId="0" borderId="0" xfId="0" applyFont="1" applyAlignment="1">
      <alignment horizontal="center"/>
    </xf>
    <xf numFmtId="49" fontId="0" fillId="0" borderId="0" xfId="0" applyNumberFormat="1"/>
    <xf numFmtId="4" fontId="68" fillId="0" borderId="184" xfId="181" applyNumberFormat="1" applyFont="1" applyBorder="1" applyProtection="1"/>
    <xf numFmtId="0" fontId="100" fillId="0" borderId="0" xfId="49346" applyFont="1" applyAlignment="1">
      <alignment wrapText="1"/>
    </xf>
    <xf numFmtId="166" fontId="68" fillId="32" borderId="185" xfId="0" applyNumberFormat="1" applyFont="1" applyFill="1" applyBorder="1"/>
    <xf numFmtId="171" fontId="68" fillId="32" borderId="185" xfId="182" applyNumberFormat="1" applyFont="1" applyFill="1" applyBorder="1"/>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37" fontId="96" fillId="0" borderId="183" xfId="0" applyNumberFormat="1" applyFont="1" applyBorder="1" applyAlignment="1">
      <alignment horizontal="right"/>
    </xf>
    <xf numFmtId="37" fontId="123" fillId="24" borderId="183" xfId="0" applyNumberFormat="1" applyFont="1" applyFill="1" applyBorder="1"/>
    <xf numFmtId="0" fontId="68" fillId="0" borderId="190" xfId="0" applyFont="1" applyBorder="1"/>
    <xf numFmtId="0" fontId="68" fillId="77" borderId="190" xfId="0" applyFont="1" applyFill="1" applyBorder="1"/>
    <xf numFmtId="171" fontId="68" fillId="32" borderId="188" xfId="182" applyNumberFormat="1" applyFont="1" applyFill="1" applyBorder="1"/>
    <xf numFmtId="171" fontId="68" fillId="32" borderId="191" xfId="182" applyNumberFormat="1" applyFont="1" applyFill="1" applyBorder="1"/>
    <xf numFmtId="171" fontId="68" fillId="32" borderId="192" xfId="182" applyNumberFormat="1" applyFont="1" applyFill="1" applyBorder="1"/>
    <xf numFmtId="10" fontId="74" fillId="0" borderId="193" xfId="3292" quotePrefix="1" applyNumberFormat="1" applyFont="1" applyFill="1" applyBorder="1" applyAlignment="1" applyProtection="1">
      <alignment horizontal="right"/>
    </xf>
    <xf numFmtId="167" fontId="74" fillId="0" borderId="194" xfId="3292" applyNumberFormat="1" applyFont="1" applyBorder="1" applyAlignment="1" applyProtection="1">
      <alignment horizontal="right"/>
    </xf>
    <xf numFmtId="0" fontId="68" fillId="0" borderId="195" xfId="0" applyFont="1" applyBorder="1"/>
    <xf numFmtId="3" fontId="74" fillId="0" borderId="196" xfId="181" applyNumberFormat="1" applyFont="1" applyFill="1" applyBorder="1" applyAlignment="1" applyProtection="1"/>
    <xf numFmtId="0" fontId="68" fillId="0" borderId="197" xfId="0" applyFont="1" applyBorder="1"/>
    <xf numFmtId="3" fontId="74" fillId="0" borderId="198" xfId="181" applyNumberFormat="1" applyFont="1" applyFill="1" applyBorder="1" applyAlignment="1" applyProtection="1"/>
    <xf numFmtId="3" fontId="74" fillId="0" borderId="199" xfId="181" applyNumberFormat="1" applyFont="1" applyBorder="1" applyProtection="1"/>
    <xf numFmtId="10" fontId="74" fillId="0" borderId="200" xfId="3292" quotePrefix="1" applyNumberFormat="1" applyFont="1" applyFill="1" applyBorder="1" applyAlignment="1" applyProtection="1">
      <alignment horizontal="right"/>
    </xf>
    <xf numFmtId="167" fontId="74" fillId="0" borderId="201" xfId="3292" applyNumberFormat="1" applyFont="1" applyBorder="1" applyAlignment="1" applyProtection="1">
      <alignment horizontal="right"/>
    </xf>
    <xf numFmtId="10" fontId="74" fillId="0" borderId="199" xfId="3292" quotePrefix="1" applyNumberFormat="1" applyFont="1" applyFill="1" applyBorder="1" applyAlignment="1" applyProtection="1">
      <alignment horizontal="right"/>
    </xf>
    <xf numFmtId="167" fontId="74" fillId="0" borderId="202" xfId="3292" applyNumberFormat="1" applyFont="1" applyBorder="1" applyAlignment="1" applyProtection="1">
      <alignment horizontal="right"/>
    </xf>
    <xf numFmtId="3" fontId="74" fillId="0" borderId="203" xfId="181" applyNumberFormat="1" applyFont="1" applyBorder="1" applyAlignment="1" applyProtection="1">
      <alignment horizontal="right"/>
    </xf>
    <xf numFmtId="37" fontId="68" fillId="0" borderId="204" xfId="0" applyNumberFormat="1" applyFont="1" applyBorder="1"/>
    <xf numFmtId="3" fontId="150" fillId="32" borderId="205" xfId="0" applyNumberFormat="1" applyFont="1" applyFill="1" applyBorder="1" applyAlignment="1" applyProtection="1">
      <alignment horizontal="right"/>
      <protection locked="0"/>
    </xf>
    <xf numFmtId="0" fontId="68" fillId="0" borderId="205" xfId="0" applyFont="1" applyBorder="1"/>
    <xf numFmtId="0" fontId="68" fillId="0" borderId="205" xfId="0" applyFont="1" applyBorder="1" applyAlignment="1">
      <alignment horizontal="center"/>
    </xf>
    <xf numFmtId="4" fontId="68" fillId="0" borderId="205" xfId="0" applyNumberFormat="1" applyFont="1" applyBorder="1"/>
    <xf numFmtId="3" fontId="68" fillId="0" borderId="205" xfId="0" applyNumberFormat="1" applyFont="1" applyBorder="1"/>
    <xf numFmtId="0" fontId="68" fillId="0" borderId="206" xfId="0" applyFont="1" applyBorder="1"/>
    <xf numFmtId="0" fontId="68" fillId="0" borderId="206" xfId="0" applyFont="1" applyBorder="1" applyAlignment="1">
      <alignment horizontal="center"/>
    </xf>
    <xf numFmtId="3" fontId="150" fillId="32" borderId="206" xfId="0" applyNumberFormat="1" applyFont="1" applyFill="1" applyBorder="1" applyAlignment="1" applyProtection="1">
      <alignment horizontal="right"/>
      <protection locked="0"/>
    </xf>
    <xf numFmtId="4" fontId="68" fillId="0" borderId="206" xfId="0" applyNumberFormat="1" applyFont="1" applyBorder="1"/>
    <xf numFmtId="3" fontId="68" fillId="0" borderId="206" xfId="0" applyNumberFormat="1" applyFont="1" applyBorder="1"/>
    <xf numFmtId="168" fontId="124" fillId="74" borderId="207" xfId="0" applyNumberFormat="1" applyFont="1" applyFill="1" applyBorder="1" applyAlignment="1">
      <alignment horizontal="right"/>
    </xf>
    <xf numFmtId="5" fontId="124" fillId="74" borderId="207" xfId="0" applyNumberFormat="1" applyFont="1" applyFill="1" applyBorder="1" applyAlignment="1">
      <alignment horizontal="right"/>
    </xf>
    <xf numFmtId="37" fontId="96" fillId="24" borderId="208" xfId="0" applyNumberFormat="1" applyFont="1" applyFill="1" applyBorder="1" applyAlignment="1">
      <alignment horizontal="right"/>
    </xf>
    <xf numFmtId="37" fontId="96" fillId="30" borderId="188" xfId="0" applyNumberFormat="1" applyFont="1" applyFill="1" applyBorder="1" applyAlignment="1">
      <alignment horizontal="right"/>
    </xf>
    <xf numFmtId="37" fontId="96" fillId="24" borderId="188" xfId="0" applyNumberFormat="1" applyFont="1" applyFill="1" applyBorder="1" applyAlignment="1">
      <alignment horizontal="right"/>
    </xf>
    <xf numFmtId="37" fontId="96" fillId="24" borderId="209" xfId="0" applyNumberFormat="1" applyFont="1" applyFill="1" applyBorder="1" applyAlignment="1">
      <alignment horizontal="right"/>
    </xf>
    <xf numFmtId="37" fontId="123" fillId="74" borderId="188" xfId="0" applyNumberFormat="1" applyFont="1" applyFill="1" applyBorder="1" applyAlignment="1">
      <alignment horizontal="right"/>
    </xf>
    <xf numFmtId="37" fontId="123" fillId="24" borderId="209" xfId="0" applyNumberFormat="1" applyFont="1" applyFill="1" applyBorder="1" applyAlignment="1">
      <alignment horizontal="right"/>
    </xf>
    <xf numFmtId="37" fontId="123" fillId="74" borderId="213" xfId="0" applyNumberFormat="1" applyFont="1" applyFill="1" applyBorder="1" applyAlignment="1">
      <alignment horizontal="right"/>
    </xf>
    <xf numFmtId="37" fontId="123" fillId="24" borderId="209" xfId="0" applyNumberFormat="1" applyFont="1" applyFill="1" applyBorder="1"/>
    <xf numFmtId="37" fontId="103" fillId="30" borderId="214" xfId="0" applyNumberFormat="1" applyFont="1" applyFill="1" applyBorder="1"/>
    <xf numFmtId="37" fontId="123" fillId="74" borderId="213" xfId="0" applyNumberFormat="1" applyFont="1" applyFill="1" applyBorder="1"/>
    <xf numFmtId="37" fontId="96" fillId="74" borderId="213" xfId="0" applyNumberFormat="1" applyFont="1" applyFill="1" applyBorder="1"/>
    <xf numFmtId="37" fontId="96" fillId="0" borderId="209" xfId="0" applyNumberFormat="1" applyFont="1" applyBorder="1"/>
    <xf numFmtId="37" fontId="96" fillId="74" borderId="218" xfId="0" applyNumberFormat="1" applyFont="1" applyFill="1" applyBorder="1"/>
    <xf numFmtId="37" fontId="96" fillId="24" borderId="209" xfId="0" applyNumberFormat="1" applyFont="1" applyFill="1" applyBorder="1"/>
    <xf numFmtId="0" fontId="101" fillId="0" borderId="219" xfId="0" applyFont="1" applyBorder="1"/>
    <xf numFmtId="0" fontId="101" fillId="0" borderId="220" xfId="0" applyFont="1" applyBorder="1"/>
    <xf numFmtId="0" fontId="101" fillId="0" borderId="220" xfId="0" applyFont="1" applyBorder="1" applyAlignment="1">
      <alignment horizontal="center"/>
    </xf>
    <xf numFmtId="0" fontId="101" fillId="0" borderId="221" xfId="0" applyFont="1" applyBorder="1"/>
    <xf numFmtId="0" fontId="101" fillId="0" borderId="222" xfId="0" applyFont="1" applyBorder="1"/>
    <xf numFmtId="0" fontId="101" fillId="0" borderId="222" xfId="0" applyFont="1" applyBorder="1" applyAlignment="1">
      <alignment horizontal="center"/>
    </xf>
    <xf numFmtId="3" fontId="152" fillId="32" borderId="223" xfId="0" applyNumberFormat="1" applyFont="1" applyFill="1" applyBorder="1" applyProtection="1">
      <protection locked="0"/>
    </xf>
    <xf numFmtId="3" fontId="101" fillId="0" borderId="223" xfId="0" applyNumberFormat="1" applyFont="1" applyBorder="1"/>
    <xf numFmtId="0" fontId="101" fillId="0" borderId="223" xfId="0" applyFont="1" applyBorder="1" applyAlignment="1">
      <alignment horizontal="center"/>
    </xf>
    <xf numFmtId="0" fontId="101" fillId="0" borderId="224" xfId="0" applyFont="1" applyBorder="1"/>
    <xf numFmtId="0" fontId="101" fillId="75" borderId="223" xfId="0" applyFont="1" applyFill="1" applyBorder="1"/>
    <xf numFmtId="0" fontId="139" fillId="0" borderId="213" xfId="663" applyFont="1" applyBorder="1" applyAlignment="1">
      <alignment horizontal="center" wrapText="1"/>
    </xf>
    <xf numFmtId="0" fontId="139" fillId="0" borderId="225" xfId="663" applyFont="1" applyBorder="1" applyAlignment="1">
      <alignment horizontal="center" wrapText="1"/>
    </xf>
    <xf numFmtId="9" fontId="120" fillId="0" borderId="213" xfId="663" applyNumberFormat="1" applyFont="1" applyBorder="1" applyAlignment="1">
      <alignment horizontal="center" wrapText="1"/>
    </xf>
    <xf numFmtId="9" fontId="139" fillId="0" borderId="225" xfId="663" applyNumberFormat="1" applyFont="1" applyBorder="1" applyAlignment="1">
      <alignment horizontal="center" wrapText="1"/>
    </xf>
    <xf numFmtId="0" fontId="118" fillId="0" borderId="227" xfId="663" applyFont="1" applyBorder="1"/>
    <xf numFmtId="44" fontId="104" fillId="0" borderId="226" xfId="378" applyFont="1" applyFill="1" applyBorder="1" applyProtection="1"/>
    <xf numFmtId="44" fontId="104" fillId="0" borderId="228" xfId="378" applyFont="1" applyFill="1" applyBorder="1" applyProtection="1"/>
    <xf numFmtId="0" fontId="104" fillId="0" borderId="227" xfId="663" applyFont="1" applyBorder="1"/>
    <xf numFmtId="44" fontId="104" fillId="0" borderId="213" xfId="378" applyFont="1" applyFill="1" applyBorder="1" applyProtection="1"/>
    <xf numFmtId="44" fontId="104" fillId="0" borderId="225" xfId="378" applyFont="1" applyFill="1" applyBorder="1" applyProtection="1"/>
    <xf numFmtId="0" fontId="104" fillId="0" borderId="227" xfId="663" applyFont="1" applyBorder="1" applyAlignment="1">
      <alignment horizontal="left"/>
    </xf>
    <xf numFmtId="0" fontId="104" fillId="0" borderId="229" xfId="663" applyFont="1" applyBorder="1"/>
    <xf numFmtId="0" fontId="118" fillId="0" borderId="213" xfId="663" applyFont="1" applyBorder="1"/>
    <xf numFmtId="0" fontId="118" fillId="0" borderId="225" xfId="663" applyFont="1" applyBorder="1"/>
    <xf numFmtId="0" fontId="139" fillId="0" borderId="226" xfId="663" applyFont="1" applyBorder="1" applyAlignment="1">
      <alignment horizontal="center" wrapText="1"/>
    </xf>
    <xf numFmtId="0" fontId="139" fillId="0" borderId="228" xfId="663" applyFont="1" applyBorder="1" applyAlignment="1">
      <alignment horizontal="center" wrapText="1"/>
    </xf>
    <xf numFmtId="0" fontId="118" fillId="0" borderId="229" xfId="663" applyFont="1" applyBorder="1"/>
    <xf numFmtId="0" fontId="104" fillId="0" borderId="229" xfId="663" applyFont="1" applyBorder="1" applyAlignment="1">
      <alignment horizontal="left"/>
    </xf>
    <xf numFmtId="0" fontId="104" fillId="0" borderId="230" xfId="663" applyFont="1" applyBorder="1"/>
    <xf numFmtId="44" fontId="104" fillId="0" borderId="231" xfId="378" applyFont="1" applyFill="1" applyBorder="1" applyProtection="1"/>
    <xf numFmtId="44" fontId="104" fillId="0" borderId="232" xfId="378" applyFont="1" applyFill="1" applyBorder="1" applyProtection="1"/>
    <xf numFmtId="0" fontId="139" fillId="0" borderId="233" xfId="663" applyFont="1" applyBorder="1" applyAlignment="1">
      <alignment horizontal="center" wrapText="1"/>
    </xf>
    <xf numFmtId="9" fontId="139" fillId="0" borderId="233" xfId="663" applyNumberFormat="1" applyFont="1" applyBorder="1" applyAlignment="1">
      <alignment horizontal="center" wrapText="1"/>
    </xf>
    <xf numFmtId="0" fontId="118" fillId="0" borderId="234" xfId="663" applyFont="1" applyBorder="1"/>
    <xf numFmtId="44" fontId="104" fillId="0" borderId="233" xfId="378" applyFont="1" applyFill="1" applyBorder="1" applyProtection="1"/>
    <xf numFmtId="0" fontId="104" fillId="0" borderId="234" xfId="663" applyFont="1" applyBorder="1"/>
    <xf numFmtId="0" fontId="104" fillId="0" borderId="234" xfId="663" applyFont="1" applyBorder="1" applyAlignment="1">
      <alignment horizontal="left"/>
    </xf>
    <xf numFmtId="0" fontId="118" fillId="0" borderId="233" xfId="663" applyFont="1" applyBorder="1"/>
    <xf numFmtId="44" fontId="104" fillId="0" borderId="213" xfId="378" applyFont="1" applyFill="1" applyBorder="1" applyAlignment="1" applyProtection="1">
      <alignment horizontal="right"/>
    </xf>
    <xf numFmtId="44" fontId="104" fillId="0" borderId="233" xfId="378" applyFont="1" applyFill="1" applyBorder="1" applyAlignment="1" applyProtection="1">
      <alignment horizontal="right"/>
    </xf>
    <xf numFmtId="0" fontId="104" fillId="0" borderId="235" xfId="663" applyFont="1" applyBorder="1"/>
    <xf numFmtId="44" fontId="104" fillId="0" borderId="236" xfId="378" applyFont="1" applyFill="1" applyBorder="1" applyAlignment="1" applyProtection="1">
      <alignment horizontal="right"/>
    </xf>
    <xf numFmtId="44" fontId="104" fillId="0" borderId="237" xfId="378" applyFont="1" applyFill="1" applyBorder="1" applyAlignment="1" applyProtection="1">
      <alignment horizontal="right"/>
    </xf>
    <xf numFmtId="44" fontId="104" fillId="0" borderId="213" xfId="378" quotePrefix="1" applyFont="1" applyFill="1" applyBorder="1" applyProtection="1"/>
    <xf numFmtId="44" fontId="104" fillId="0" borderId="236" xfId="378" applyFont="1" applyFill="1" applyBorder="1" applyProtection="1"/>
    <xf numFmtId="44" fontId="104" fillId="0" borderId="236" xfId="378" quotePrefix="1" applyFont="1" applyFill="1" applyBorder="1" applyProtection="1"/>
    <xf numFmtId="44" fontId="104" fillId="0" borderId="237" xfId="378" applyFont="1" applyFill="1" applyBorder="1" applyProtection="1"/>
    <xf numFmtId="44" fontId="104" fillId="0" borderId="233" xfId="378" quotePrefix="1" applyFont="1" applyFill="1" applyBorder="1" applyProtection="1"/>
    <xf numFmtId="0" fontId="74" fillId="27" borderId="238" xfId="663" applyFont="1" applyFill="1" applyBorder="1" applyAlignment="1">
      <alignment wrapText="1"/>
    </xf>
    <xf numFmtId="9" fontId="68" fillId="27" borderId="239" xfId="663" applyNumberFormat="1" applyFont="1" applyFill="1" applyBorder="1" applyAlignment="1">
      <alignment horizontal="center"/>
    </xf>
    <xf numFmtId="0" fontId="68" fillId="27" borderId="240" xfId="663" applyFont="1" applyFill="1" applyBorder="1"/>
    <xf numFmtId="0" fontId="74" fillId="28" borderId="238" xfId="663" applyFont="1" applyFill="1" applyBorder="1" applyAlignment="1">
      <alignment wrapText="1"/>
    </xf>
    <xf numFmtId="9" fontId="68" fillId="28" borderId="239" xfId="663" applyNumberFormat="1" applyFont="1" applyFill="1" applyBorder="1" applyAlignment="1">
      <alignment horizontal="center"/>
    </xf>
    <xf numFmtId="0" fontId="68" fillId="28" borderId="240" xfId="663" applyFont="1" applyFill="1" applyBorder="1"/>
    <xf numFmtId="0" fontId="74" fillId="27" borderId="238" xfId="663" applyFont="1" applyFill="1" applyBorder="1"/>
    <xf numFmtId="0" fontId="68" fillId="27" borderId="240" xfId="663" applyFont="1" applyFill="1" applyBorder="1" applyAlignment="1">
      <alignment wrapText="1"/>
    </xf>
    <xf numFmtId="0" fontId="68" fillId="28" borderId="240" xfId="663" applyFont="1" applyFill="1" applyBorder="1" applyAlignment="1">
      <alignment horizontal="left"/>
    </xf>
    <xf numFmtId="0" fontId="74" fillId="28" borderId="243" xfId="663" applyFont="1" applyFill="1" applyBorder="1" applyAlignment="1">
      <alignment wrapText="1"/>
    </xf>
    <xf numFmtId="9" fontId="68" fillId="28" borderId="244" xfId="663" applyNumberFormat="1" applyFont="1" applyFill="1" applyBorder="1" applyAlignment="1">
      <alignment horizontal="center"/>
    </xf>
    <xf numFmtId="0" fontId="68" fillId="28" borderId="245"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0"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48" xfId="0" applyFont="1" applyFill="1" applyBorder="1" applyAlignment="1">
      <alignment horizontal="left"/>
    </xf>
    <xf numFmtId="0" fontId="70" fillId="30" borderId="149" xfId="0" applyFont="1" applyFill="1" applyBorder="1" applyAlignment="1">
      <alignment horizontal="left"/>
    </xf>
    <xf numFmtId="0" fontId="70" fillId="30" borderId="150" xfId="0" applyFont="1" applyFill="1" applyBorder="1" applyAlignment="1">
      <alignment horizontal="left"/>
    </xf>
    <xf numFmtId="0" fontId="70" fillId="30" borderId="33" xfId="0" applyFont="1" applyFill="1" applyBorder="1" applyAlignment="1">
      <alignment horizontal="left"/>
    </xf>
    <xf numFmtId="0" fontId="70" fillId="30" borderId="47" xfId="0" applyFont="1" applyFill="1" applyBorder="1" applyAlignment="1">
      <alignment horizontal="left"/>
    </xf>
    <xf numFmtId="0" fontId="70" fillId="30" borderId="56"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72" xfId="0" applyFont="1" applyBorder="1" applyAlignment="1">
      <alignment horizontal="center"/>
    </xf>
    <xf numFmtId="0" fontId="70" fillId="0" borderId="0" xfId="0" applyFont="1" applyAlignment="1">
      <alignment horizontal="left"/>
    </xf>
    <xf numFmtId="0" fontId="100" fillId="0" borderId="0" xfId="0" applyFont="1" applyAlignment="1">
      <alignment horizontal="center"/>
    </xf>
    <xf numFmtId="0" fontId="70" fillId="30" borderId="76" xfId="0" applyFont="1" applyFill="1" applyBorder="1" applyAlignment="1">
      <alignment horizontal="center" wrapText="1"/>
    </xf>
    <xf numFmtId="0" fontId="70" fillId="30" borderId="77" xfId="0" applyFont="1" applyFill="1" applyBorder="1" applyAlignment="1">
      <alignment horizontal="center" wrapText="1"/>
    </xf>
    <xf numFmtId="0" fontId="143" fillId="0" borderId="0" xfId="0" applyFont="1" applyAlignment="1">
      <alignment horizontal="left" vertical="top" wrapText="1"/>
    </xf>
    <xf numFmtId="0" fontId="118" fillId="0" borderId="139" xfId="0" applyFont="1" applyBorder="1" applyAlignment="1" applyProtection="1">
      <alignment horizontal="left" vertical="top" wrapText="1"/>
      <protection locked="0"/>
    </xf>
    <xf numFmtId="0" fontId="118" fillId="0" borderId="96" xfId="0" applyFont="1" applyBorder="1" applyAlignment="1" applyProtection="1">
      <alignment horizontal="left" vertical="top" wrapText="1"/>
      <protection locked="0"/>
    </xf>
    <xf numFmtId="0" fontId="118" fillId="0" borderId="62"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0"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178" xfId="0" applyNumberFormat="1" applyFont="1" applyFill="1" applyBorder="1" applyAlignment="1">
      <alignment horizontal="left"/>
    </xf>
    <xf numFmtId="37" fontId="103" fillId="30" borderId="188" xfId="0" applyNumberFormat="1" applyFont="1" applyFill="1" applyBorder="1" applyAlignment="1">
      <alignment horizontal="left"/>
    </xf>
    <xf numFmtId="37" fontId="103" fillId="30" borderId="210" xfId="0" applyNumberFormat="1" applyFont="1" applyFill="1" applyBorder="1" applyAlignment="1">
      <alignment horizontal="left"/>
    </xf>
    <xf numFmtId="37" fontId="103" fillId="30" borderId="211" xfId="0" applyNumberFormat="1" applyFont="1" applyFill="1" applyBorder="1" applyAlignment="1">
      <alignment horizontal="left"/>
    </xf>
    <xf numFmtId="37" fontId="103" fillId="30" borderId="212" xfId="0" applyNumberFormat="1" applyFont="1" applyFill="1" applyBorder="1" applyAlignment="1">
      <alignment horizontal="left"/>
    </xf>
    <xf numFmtId="37" fontId="103" fillId="30" borderId="161" xfId="0" applyNumberFormat="1" applyFont="1" applyFill="1" applyBorder="1" applyAlignment="1">
      <alignment horizontal="left"/>
    </xf>
    <xf numFmtId="37" fontId="103" fillId="30" borderId="160" xfId="0" applyNumberFormat="1" applyFont="1" applyFill="1" applyBorder="1" applyAlignment="1">
      <alignment horizontal="left"/>
    </xf>
    <xf numFmtId="37" fontId="103" fillId="30" borderId="162" xfId="0" applyNumberFormat="1" applyFont="1" applyFill="1" applyBorder="1" applyAlignment="1">
      <alignment horizontal="left"/>
    </xf>
    <xf numFmtId="37" fontId="103" fillId="30" borderId="215" xfId="0" applyNumberFormat="1" applyFont="1" applyFill="1" applyBorder="1" applyAlignment="1">
      <alignment horizontal="left"/>
    </xf>
    <xf numFmtId="37" fontId="103" fillId="30" borderId="216" xfId="0" applyNumberFormat="1" applyFont="1" applyFill="1" applyBorder="1" applyAlignment="1">
      <alignment horizontal="left"/>
    </xf>
    <xf numFmtId="37" fontId="103" fillId="30" borderId="217" xfId="0" applyNumberFormat="1" applyFont="1" applyFill="1" applyBorder="1" applyAlignment="1">
      <alignment horizontal="left"/>
    </xf>
    <xf numFmtId="37" fontId="99" fillId="30" borderId="76" xfId="0" applyNumberFormat="1" applyFont="1" applyFill="1" applyBorder="1" applyAlignment="1">
      <alignment horizontal="left"/>
    </xf>
    <xf numFmtId="37" fontId="99" fillId="30" borderId="78" xfId="0" applyNumberFormat="1" applyFont="1" applyFill="1" applyBorder="1" applyAlignment="1">
      <alignment horizontal="left"/>
    </xf>
    <xf numFmtId="0" fontId="99" fillId="0" borderId="76" xfId="0" applyFont="1" applyBorder="1" applyAlignment="1">
      <alignment horizontal="center"/>
    </xf>
    <xf numFmtId="0" fontId="99" fillId="0" borderId="78" xfId="0" applyFont="1" applyBorder="1" applyAlignment="1">
      <alignment horizontal="center"/>
    </xf>
    <xf numFmtId="0" fontId="99" fillId="0" borderId="77" xfId="0" applyFont="1" applyBorder="1" applyAlignment="1">
      <alignment horizontal="center"/>
    </xf>
    <xf numFmtId="37" fontId="99" fillId="30" borderId="77" xfId="0" applyNumberFormat="1" applyFont="1" applyFill="1" applyBorder="1" applyAlignment="1">
      <alignment horizontal="left"/>
    </xf>
    <xf numFmtId="37" fontId="135" fillId="30" borderId="76" xfId="0" applyNumberFormat="1" applyFont="1" applyFill="1" applyBorder="1" applyAlignment="1">
      <alignment horizontal="left"/>
    </xf>
    <xf numFmtId="37" fontId="135" fillId="30" borderId="77" xfId="0" applyNumberFormat="1" applyFont="1" applyFill="1" applyBorder="1" applyAlignment="1">
      <alignment horizontal="left"/>
    </xf>
    <xf numFmtId="0" fontId="142" fillId="32" borderId="76" xfId="0" applyFont="1" applyFill="1" applyBorder="1" applyAlignment="1">
      <alignment horizontal="left" vertical="top"/>
    </xf>
    <xf numFmtId="0" fontId="142" fillId="32" borderId="77" xfId="0" applyFont="1" applyFill="1" applyBorder="1" applyAlignment="1">
      <alignment horizontal="left" vertical="top"/>
    </xf>
    <xf numFmtId="0" fontId="134" fillId="0" borderId="0" xfId="0" applyFont="1" applyAlignment="1">
      <alignment horizontal="center"/>
    </xf>
    <xf numFmtId="0" fontId="120" fillId="0" borderId="53" xfId="0" applyFont="1" applyBorder="1" applyAlignment="1">
      <alignment wrapText="1"/>
    </xf>
    <xf numFmtId="0" fontId="120" fillId="0" borderId="52" xfId="0" applyFont="1" applyBorder="1" applyAlignment="1">
      <alignment wrapText="1"/>
    </xf>
    <xf numFmtId="0" fontId="120" fillId="0" borderId="169" xfId="0" applyFont="1" applyBorder="1" applyAlignment="1">
      <alignment horizontal="center"/>
    </xf>
    <xf numFmtId="0" fontId="120" fillId="0" borderId="226" xfId="0" applyFont="1" applyBorder="1" applyAlignment="1">
      <alignment horizontal="center"/>
    </xf>
    <xf numFmtId="0" fontId="120" fillId="0" borderId="139" xfId="0" applyFont="1" applyBorder="1" applyAlignment="1">
      <alignment wrapText="1"/>
    </xf>
    <xf numFmtId="0" fontId="120" fillId="0" borderId="15" xfId="0" applyFont="1" applyBorder="1" applyAlignment="1">
      <alignment wrapText="1"/>
    </xf>
    <xf numFmtId="0" fontId="120" fillId="0" borderId="179" xfId="0" applyFont="1" applyBorder="1" applyAlignment="1">
      <alignment wrapText="1"/>
    </xf>
    <xf numFmtId="0" fontId="118" fillId="0" borderId="0" xfId="663" applyFont="1" applyAlignment="1">
      <alignment horizontal="left" wrapText="1"/>
    </xf>
    <xf numFmtId="0" fontId="119" fillId="0" borderId="180" xfId="0" applyFont="1" applyBorder="1" applyAlignment="1">
      <alignment wrapText="1"/>
    </xf>
    <xf numFmtId="0" fontId="119" fillId="0" borderId="5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4" xfId="0" applyFont="1" applyBorder="1" applyAlignment="1">
      <alignment wrapText="1"/>
    </xf>
    <xf numFmtId="0" fontId="120" fillId="0" borderId="35" xfId="0" applyFont="1" applyBorder="1" applyAlignment="1">
      <alignment wrapText="1"/>
    </xf>
    <xf numFmtId="0" fontId="120" fillId="0" borderId="182" xfId="0" applyFont="1" applyBorder="1" applyAlignment="1">
      <alignment wrapText="1"/>
    </xf>
    <xf numFmtId="0" fontId="118" fillId="0" borderId="53" xfId="0" applyFont="1" applyBorder="1" applyAlignment="1">
      <alignment wrapText="1"/>
    </xf>
    <xf numFmtId="0" fontId="118" fillId="0" borderId="5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36" xfId="0" applyFont="1" applyBorder="1" applyAlignment="1">
      <alignment horizontal="centerContinuous" wrapText="1"/>
    </xf>
    <xf numFmtId="0" fontId="70" fillId="0" borderId="40" xfId="0" applyFont="1" applyBorder="1" applyAlignment="1">
      <alignment horizontal="centerContinuous" wrapText="1"/>
    </xf>
    <xf numFmtId="0" fontId="70" fillId="0" borderId="41"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70" fillId="30" borderId="76" xfId="0" applyFont="1" applyFill="1" applyBorder="1" applyAlignment="1">
      <alignment horizontal="centerContinuous" wrapText="1"/>
    </xf>
    <xf numFmtId="0" fontId="70" fillId="30" borderId="77"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78" xfId="0" applyFont="1" applyBorder="1" applyAlignment="1">
      <alignment horizontal="left" vertical="top" wrapText="1"/>
    </xf>
    <xf numFmtId="0" fontId="67" fillId="0" borderId="77" xfId="0" applyFont="1" applyBorder="1" applyAlignment="1">
      <alignment horizontal="left" vertical="top" wrapText="1"/>
    </xf>
    <xf numFmtId="0" fontId="67" fillId="0" borderId="0" xfId="530" applyFont="1" applyAlignment="1" applyProtection="1">
      <alignment horizontal="center"/>
      <protection locked="0"/>
    </xf>
    <xf numFmtId="165" fontId="68" fillId="32" borderId="234" xfId="181" applyNumberFormat="1" applyFont="1" applyFill="1" applyBorder="1" applyAlignment="1">
      <alignment horizontal="right"/>
    </xf>
    <xf numFmtId="0" fontId="68" fillId="78" borderId="38" xfId="0" applyFont="1" applyFill="1" applyBorder="1"/>
    <xf numFmtId="0" fontId="68" fillId="78" borderId="189" xfId="0" applyFont="1" applyFill="1" applyBorder="1"/>
    <xf numFmtId="166" fontId="68" fillId="36" borderId="79" xfId="0" applyNumberFormat="1" applyFont="1" applyFill="1" applyBorder="1"/>
    <xf numFmtId="166" fontId="68" fillId="36" borderId="178" xfId="0" applyNumberFormat="1" applyFont="1" applyFill="1" applyBorder="1"/>
    <xf numFmtId="166" fontId="68" fillId="36" borderId="174" xfId="0" applyNumberFormat="1" applyFont="1" applyFill="1" applyBorder="1"/>
    <xf numFmtId="166" fontId="100" fillId="32" borderId="20"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79" xfId="0" applyFont="1" applyFill="1" applyBorder="1" applyAlignment="1">
      <alignment horizontal="center"/>
    </xf>
    <xf numFmtId="0" fontId="70" fillId="35" borderId="52" xfId="0" applyFont="1" applyFill="1" applyBorder="1" applyAlignment="1">
      <alignment horizontal="center"/>
    </xf>
    <xf numFmtId="0" fontId="70" fillId="35" borderId="137" xfId="0" applyFont="1" applyFill="1" applyBorder="1" applyAlignment="1">
      <alignment horizontal="center" wrapText="1"/>
    </xf>
    <xf numFmtId="0" fontId="70" fillId="35" borderId="180" xfId="0" applyFont="1" applyFill="1" applyBorder="1" applyAlignment="1">
      <alignment horizontal="center"/>
    </xf>
    <xf numFmtId="0" fontId="70" fillId="35" borderId="134" xfId="0" applyFont="1" applyFill="1" applyBorder="1" applyAlignment="1">
      <alignment horizontal="center" wrapText="1"/>
    </xf>
    <xf numFmtId="0" fontId="70" fillId="35" borderId="11" xfId="0" applyFont="1" applyFill="1" applyBorder="1" applyAlignment="1">
      <alignment horizontal="center"/>
    </xf>
    <xf numFmtId="0" fontId="70" fillId="35" borderId="97" xfId="0" applyFont="1" applyFill="1" applyBorder="1" applyAlignment="1">
      <alignment horizontal="center"/>
    </xf>
    <xf numFmtId="0" fontId="70" fillId="35" borderId="135" xfId="0" applyFont="1" applyFill="1" applyBorder="1" applyAlignment="1">
      <alignment horizontal="center" wrapText="1"/>
    </xf>
    <xf numFmtId="0" fontId="70" fillId="35" borderId="59" xfId="0" applyFont="1" applyFill="1" applyBorder="1" applyAlignment="1">
      <alignment horizontal="center" wrapText="1"/>
    </xf>
    <xf numFmtId="0" fontId="70" fillId="35" borderId="76" xfId="0" applyFont="1" applyFill="1" applyBorder="1" applyAlignment="1">
      <alignment horizontal="center" wrapText="1"/>
    </xf>
    <xf numFmtId="0" fontId="70" fillId="35" borderId="18" xfId="0" applyFont="1" applyFill="1" applyBorder="1" applyAlignment="1">
      <alignment horizontal="center" wrapText="1"/>
    </xf>
    <xf numFmtId="4" fontId="154" fillId="32" borderId="246" xfId="0" applyNumberFormat="1" applyFont="1" applyFill="1" applyBorder="1" applyProtection="1">
      <protection locked="0"/>
    </xf>
    <xf numFmtId="4" fontId="154" fillId="32" borderId="247" xfId="0" applyNumberFormat="1" applyFont="1" applyFill="1" applyBorder="1" applyProtection="1">
      <protection locked="0"/>
    </xf>
    <xf numFmtId="4" fontId="154" fillId="32" borderId="179" xfId="0" applyNumberFormat="1" applyFont="1" applyFill="1" applyBorder="1" applyProtection="1">
      <protection locked="0"/>
    </xf>
    <xf numFmtId="3" fontId="150" fillId="32" borderId="24" xfId="0" applyNumberFormat="1" applyFont="1" applyFill="1" applyBorder="1" applyAlignment="1" applyProtection="1">
      <alignment horizontal="right"/>
      <protection locked="0"/>
    </xf>
    <xf numFmtId="0" fontId="155" fillId="32" borderId="30" xfId="0" applyFont="1" applyFill="1" applyBorder="1" applyAlignment="1" applyProtection="1">
      <alignment horizontal="center"/>
      <protection locked="0"/>
    </xf>
    <xf numFmtId="0" fontId="155" fillId="32" borderId="51" xfId="0" applyFont="1" applyFill="1" applyBorder="1" applyAlignment="1" applyProtection="1">
      <alignment horizontal="center"/>
      <protection locked="0"/>
    </xf>
    <xf numFmtId="0" fontId="155" fillId="32" borderId="219" xfId="0" applyFont="1" applyFill="1" applyBorder="1" applyAlignment="1" applyProtection="1">
      <alignment horizontal="center"/>
      <protection locked="0"/>
    </xf>
    <xf numFmtId="0" fontId="155" fillId="32" borderId="220" xfId="0" applyFont="1" applyFill="1" applyBorder="1" applyAlignment="1" applyProtection="1">
      <alignment horizontal="center"/>
      <protection locked="0"/>
    </xf>
    <xf numFmtId="0" fontId="155" fillId="32" borderId="221" xfId="0" applyFont="1" applyFill="1" applyBorder="1" applyAlignment="1" applyProtection="1">
      <alignment horizontal="center"/>
      <protection locked="0"/>
    </xf>
    <xf numFmtId="0" fontId="155" fillId="32" borderId="222" xfId="0" applyFont="1" applyFill="1" applyBorder="1" applyAlignment="1" applyProtection="1">
      <alignment horizontal="center"/>
      <protection locked="0"/>
    </xf>
    <xf numFmtId="0" fontId="155" fillId="32" borderId="179" xfId="0" applyFont="1" applyFill="1" applyBorder="1" applyAlignment="1" applyProtection="1">
      <alignment horizontal="center"/>
      <protection locked="0"/>
    </xf>
    <xf numFmtId="0" fontId="155" fillId="32" borderId="170" xfId="0" applyFont="1" applyFill="1" applyBorder="1" applyAlignment="1" applyProtection="1">
      <alignment horizontal="center"/>
      <protection locked="0"/>
    </xf>
    <xf numFmtId="0" fontId="68" fillId="29" borderId="76" xfId="0" applyFont="1" applyFill="1" applyBorder="1"/>
    <xf numFmtId="0" fontId="68" fillId="29" borderId="77" xfId="0" applyFont="1" applyFill="1" applyBorder="1"/>
    <xf numFmtId="0" fontId="68" fillId="34" borderId="76" xfId="0" applyFont="1" applyFill="1" applyBorder="1"/>
    <xf numFmtId="0" fontId="68" fillId="34" borderId="77" xfId="0" applyFont="1" applyFill="1" applyBorder="1"/>
    <xf numFmtId="0" fontId="68" fillId="34" borderId="76" xfId="0" applyFont="1" applyFill="1" applyBorder="1" applyAlignment="1">
      <alignment horizontal="center"/>
    </xf>
    <xf numFmtId="0" fontId="68" fillId="34" borderId="77" xfId="0" applyFont="1" applyFill="1" applyBorder="1" applyAlignment="1">
      <alignment horizontal="center"/>
    </xf>
    <xf numFmtId="0" fontId="103" fillId="73" borderId="18" xfId="0" applyFont="1" applyFill="1" applyBorder="1"/>
    <xf numFmtId="0" fontId="103" fillId="73" borderId="77" xfId="0" applyFont="1" applyFill="1" applyBorder="1"/>
    <xf numFmtId="0" fontId="99" fillId="30" borderId="76" xfId="0" applyFont="1" applyFill="1" applyBorder="1" applyAlignment="1">
      <alignment horizontal="centerContinuous"/>
    </xf>
    <xf numFmtId="0" fontId="99" fillId="30" borderId="77" xfId="0" applyFont="1" applyFill="1" applyBorder="1" applyAlignment="1">
      <alignment horizontal="centerContinuous"/>
    </xf>
    <xf numFmtId="37" fontId="99" fillId="30" borderId="76" xfId="0" applyNumberFormat="1" applyFont="1" applyFill="1" applyBorder="1" applyAlignment="1">
      <alignment horizontal="centerContinuous"/>
    </xf>
    <xf numFmtId="37" fontId="99" fillId="30" borderId="77" xfId="0" applyNumberFormat="1" applyFont="1" applyFill="1" applyBorder="1" applyAlignment="1">
      <alignment horizontal="centerContinuous"/>
    </xf>
    <xf numFmtId="0" fontId="156" fillId="0" borderId="219" xfId="0" applyFont="1" applyBorder="1"/>
    <xf numFmtId="0" fontId="120" fillId="0" borderId="186" xfId="0" applyFont="1" applyBorder="1" applyAlignment="1">
      <alignment horizontal="centerContinuous" wrapText="1"/>
    </xf>
    <xf numFmtId="0" fontId="120" fillId="0" borderId="172" xfId="0" applyFont="1" applyBorder="1" applyAlignment="1">
      <alignment horizontal="centerContinuous" wrapText="1"/>
    </xf>
    <xf numFmtId="0" fontId="120" fillId="0" borderId="187" xfId="0" applyFont="1" applyBorder="1" applyAlignment="1">
      <alignment horizontal="centerContinuous" wrapText="1"/>
    </xf>
    <xf numFmtId="0" fontId="120" fillId="0" borderId="48" xfId="0" applyFont="1" applyBorder="1" applyAlignment="1">
      <alignment horizontal="centerContinuous" wrapText="1"/>
    </xf>
    <xf numFmtId="0" fontId="120" fillId="0" borderId="49" xfId="0" applyFont="1" applyBorder="1" applyAlignment="1">
      <alignment horizontal="centerContinuous" wrapText="1"/>
    </xf>
    <xf numFmtId="0" fontId="120" fillId="0" borderId="50" xfId="0" applyFont="1" applyBorder="1" applyAlignment="1">
      <alignment horizontal="centerContinuous" wrapText="1"/>
    </xf>
    <xf numFmtId="0" fontId="120" fillId="0" borderId="46" xfId="0" applyFont="1" applyBorder="1" applyAlignment="1">
      <alignment horizontal="centerContinuous" wrapText="1"/>
    </xf>
    <xf numFmtId="0" fontId="120" fillId="0" borderId="79" xfId="0" applyFont="1" applyBorder="1" applyAlignment="1">
      <alignment horizontal="centerContinuous" wrapText="1"/>
    </xf>
    <xf numFmtId="0" fontId="120" fillId="0" borderId="51" xfId="0" applyFont="1" applyBorder="1" applyAlignment="1">
      <alignment horizontal="centerContinuous" wrapText="1"/>
    </xf>
    <xf numFmtId="0" fontId="120" fillId="0" borderId="184" xfId="0" applyFont="1" applyBorder="1" applyAlignment="1">
      <alignment horizontal="centerContinuous" wrapText="1"/>
    </xf>
    <xf numFmtId="0" fontId="134" fillId="0" borderId="54" xfId="663" applyFont="1" applyBorder="1" applyAlignment="1">
      <alignment horizontal="centerContinuous"/>
    </xf>
    <xf numFmtId="0" fontId="134" fillId="0" borderId="55"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41" xfId="663" applyFont="1" applyBorder="1" applyAlignment="1">
      <alignment horizontal="centerContinuous"/>
    </xf>
    <xf numFmtId="0" fontId="71" fillId="0" borderId="216" xfId="663" applyFont="1" applyBorder="1" applyAlignment="1">
      <alignment horizontal="centerContinuous"/>
    </xf>
    <xf numFmtId="0" fontId="71" fillId="0" borderId="242" xfId="663" applyFont="1" applyBorder="1" applyAlignment="1">
      <alignment horizontal="centerContinuous"/>
    </xf>
    <xf numFmtId="0" fontId="71" fillId="0" borderId="35" xfId="663" applyFont="1" applyBorder="1" applyAlignment="1">
      <alignment horizontal="centerContinuous"/>
    </xf>
    <xf numFmtId="9" fontId="68" fillId="0" borderId="216" xfId="663" applyNumberFormat="1" applyFont="1" applyBorder="1" applyAlignment="1">
      <alignment horizontal="centerContinuous"/>
    </xf>
    <xf numFmtId="0" fontId="68" fillId="0" borderId="242" xfId="663" applyFont="1" applyBorder="1" applyAlignment="1">
      <alignment horizontal="centerContinuous"/>
    </xf>
    <xf numFmtId="0" fontId="71" fillId="0" borderId="108" xfId="663" applyFont="1" applyBorder="1" applyAlignment="1">
      <alignment horizontal="centerContinuous"/>
    </xf>
    <xf numFmtId="0" fontId="119" fillId="0" borderId="0" xfId="0" applyFont="1" applyAlignment="1">
      <alignment horizontal="centerContinuous"/>
    </xf>
    <xf numFmtId="0" fontId="101" fillId="0" borderId="246" xfId="0" applyFont="1" applyBorder="1" applyAlignment="1">
      <alignment horizontal="center"/>
    </xf>
    <xf numFmtId="3" fontId="152" fillId="32" borderId="246" xfId="0" applyNumberFormat="1" applyFont="1" applyFill="1" applyBorder="1" applyProtection="1">
      <protection locked="0"/>
    </xf>
    <xf numFmtId="3" fontId="101" fillId="0" borderId="246" xfId="0" applyNumberFormat="1" applyFont="1" applyBorder="1"/>
    <xf numFmtId="37" fontId="101" fillId="0" borderId="157" xfId="0" applyNumberFormat="1" applyFont="1" applyBorder="1"/>
    <xf numFmtId="0" fontId="68" fillId="32" borderId="246" xfId="495" applyFont="1" applyFill="1" applyBorder="1" applyAlignment="1">
      <alignment horizontal="center" wrapText="1"/>
    </xf>
    <xf numFmtId="3" fontId="68" fillId="32" borderId="246"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76" xfId="0" applyNumberFormat="1" applyFont="1" applyBorder="1" applyAlignment="1">
      <alignment horizontal="left"/>
    </xf>
    <xf numFmtId="49" fontId="67" fillId="0" borderId="78" xfId="0" applyNumberFormat="1" applyFont="1" applyBorder="1" applyAlignment="1">
      <alignment horizontal="left"/>
    </xf>
    <xf numFmtId="49" fontId="67" fillId="0" borderId="77" xfId="0" applyNumberFormat="1" applyFont="1" applyBorder="1" applyAlignment="1">
      <alignment horizontal="left"/>
    </xf>
    <xf numFmtId="0" fontId="70" fillId="0" borderId="78" xfId="0" applyFont="1" applyBorder="1" applyAlignment="1">
      <alignment horizontal="center"/>
    </xf>
    <xf numFmtId="0" fontId="70" fillId="0" borderId="77" xfId="0" applyFont="1" applyBorder="1" applyAlignment="1">
      <alignment horizontal="center"/>
    </xf>
    <xf numFmtId="0" fontId="70" fillId="0" borderId="0" xfId="17654" applyFont="1" applyAlignment="1">
      <alignment horizontal="left"/>
    </xf>
    <xf numFmtId="0" fontId="148" fillId="32" borderId="0" xfId="17654" applyFont="1" applyFill="1" applyAlignment="1">
      <alignment horizontal="left"/>
    </xf>
    <xf numFmtId="0" fontId="70" fillId="0" borderId="45" xfId="0" applyFont="1" applyBorder="1" applyAlignment="1">
      <alignment horizontal="center"/>
    </xf>
    <xf numFmtId="0" fontId="70" fillId="0" borderId="79" xfId="0" applyFont="1" applyBorder="1" applyAlignment="1">
      <alignment horizontal="center" wrapText="1"/>
    </xf>
    <xf numFmtId="0" fontId="70" fillId="0" borderId="78" xfId="0" applyFont="1" applyBorder="1" applyAlignment="1">
      <alignment horizontal="center" wrapText="1"/>
    </xf>
    <xf numFmtId="0" fontId="69" fillId="0" borderId="76" xfId="0" applyFont="1" applyBorder="1" applyAlignment="1">
      <alignment horizontal="center" wrapText="1"/>
    </xf>
    <xf numFmtId="0" fontId="69" fillId="0" borderId="77" xfId="0" applyFont="1" applyBorder="1" applyAlignment="1">
      <alignment horizontal="center" wrapText="1"/>
    </xf>
    <xf numFmtId="0" fontId="67" fillId="0" borderId="76" xfId="0" applyFont="1" applyBorder="1" applyAlignment="1">
      <alignment horizontal="left"/>
    </xf>
    <xf numFmtId="0" fontId="67" fillId="0" borderId="78" xfId="0" applyFont="1" applyBorder="1" applyAlignment="1">
      <alignment horizontal="left"/>
    </xf>
    <xf numFmtId="0" fontId="67" fillId="0" borderId="77"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78"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26" xfId="0" applyNumberFormat="1" applyFont="1" applyFill="1" applyBorder="1"/>
    <xf numFmtId="169" fontId="68" fillId="32" borderId="213" xfId="0" applyNumberFormat="1" applyFont="1" applyFill="1" applyBorder="1"/>
    <xf numFmtId="169" fontId="68" fillId="32" borderId="236" xfId="0" applyNumberFormat="1" applyFont="1" applyFill="1" applyBorder="1"/>
    <xf numFmtId="172" fontId="96" fillId="0" borderId="10" xfId="0" applyNumberFormat="1" applyFont="1" applyBorder="1" applyAlignment="1">
      <alignment horizontal="right"/>
    </xf>
    <xf numFmtId="0" fontId="68" fillId="0" borderId="246" xfId="0" applyFont="1" applyBorder="1"/>
    <xf numFmtId="0" fontId="98" fillId="0" borderId="76" xfId="0" applyFont="1" applyBorder="1" applyAlignment="1">
      <alignment horizontal="centerContinuous" wrapText="1"/>
    </xf>
    <xf numFmtId="0" fontId="98" fillId="0" borderId="78" xfId="0" applyFont="1" applyBorder="1" applyAlignment="1">
      <alignment horizontal="centerContinuous" wrapText="1"/>
    </xf>
    <xf numFmtId="0" fontId="98" fillId="0" borderId="77" xfId="0" applyFont="1" applyBorder="1" applyAlignment="1">
      <alignment horizontal="centerContinuous" wrapText="1"/>
    </xf>
    <xf numFmtId="0" fontId="70" fillId="0" borderId="76" xfId="0" applyFont="1" applyBorder="1" applyAlignment="1">
      <alignment horizontal="centerContinuous" wrapText="1"/>
    </xf>
    <xf numFmtId="0" fontId="70" fillId="0" borderId="78" xfId="0" applyFont="1" applyBorder="1" applyAlignment="1">
      <alignment horizontal="centerContinuous" wrapText="1"/>
    </xf>
    <xf numFmtId="0" fontId="70" fillId="0" borderId="77" xfId="0" applyFont="1" applyBorder="1" applyAlignment="1">
      <alignment horizontal="centerContinuous" wrapText="1"/>
    </xf>
    <xf numFmtId="0" fontId="99" fillId="0" borderId="42" xfId="0" applyFont="1" applyBorder="1" applyAlignment="1">
      <alignment horizontal="center" wrapText="1"/>
    </xf>
    <xf numFmtId="0" fontId="99" fillId="0" borderId="24" xfId="0" applyFont="1" applyBorder="1" applyAlignment="1">
      <alignment horizontal="center" wrapText="1"/>
    </xf>
    <xf numFmtId="0" fontId="75" fillId="31" borderId="0" xfId="0" applyFont="1" applyFill="1" applyAlignment="1">
      <alignment horizontal="centerContinuous" wrapText="1"/>
    </xf>
    <xf numFmtId="0" fontId="99" fillId="0" borderId="76" xfId="0" applyFont="1" applyBorder="1" applyAlignment="1">
      <alignment horizontal="centerContinuous"/>
    </xf>
    <xf numFmtId="0" fontId="99" fillId="0" borderId="78" xfId="0" applyFont="1" applyBorder="1" applyAlignment="1">
      <alignment horizontal="centerContinuous"/>
    </xf>
    <xf numFmtId="0" fontId="99" fillId="0" borderId="77"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76" xfId="0" applyFont="1" applyBorder="1" applyAlignment="1">
      <alignment horizontal="centerContinuous"/>
    </xf>
    <xf numFmtId="0" fontId="98" fillId="0" borderId="78" xfId="0" applyFont="1" applyBorder="1" applyAlignment="1">
      <alignment horizontal="centerContinuous"/>
    </xf>
    <xf numFmtId="0" fontId="98" fillId="0" borderId="77" xfId="0" applyFont="1" applyBorder="1" applyAlignment="1">
      <alignment horizontal="centerContinuous"/>
    </xf>
    <xf numFmtId="166" fontId="68" fillId="70" borderId="45" xfId="0" applyNumberFormat="1" applyFont="1" applyFill="1" applyBorder="1"/>
    <xf numFmtId="3" fontId="68" fillId="0" borderId="31" xfId="0" applyNumberFormat="1" applyFont="1" applyBorder="1"/>
    <xf numFmtId="0" fontId="101" fillId="0" borderId="219" xfId="0" applyFont="1" applyBorder="1" applyAlignment="1">
      <alignment horizontal="centerContinuous" wrapText="1"/>
    </xf>
    <xf numFmtId="0" fontId="101" fillId="0" borderId="220" xfId="0" applyFont="1" applyBorder="1" applyAlignment="1">
      <alignment horizontal="centerContinuous"/>
    </xf>
    <xf numFmtId="49" fontId="101" fillId="32" borderId="76" xfId="0" applyNumberFormat="1" applyFont="1" applyFill="1" applyBorder="1" applyAlignment="1" applyProtection="1">
      <alignment horizontal="centerContinuous" vertical="top" wrapText="1"/>
      <protection locked="0"/>
    </xf>
    <xf numFmtId="49" fontId="101" fillId="32" borderId="78" xfId="0" applyNumberFormat="1" applyFont="1" applyFill="1" applyBorder="1" applyAlignment="1" applyProtection="1">
      <alignment horizontal="centerContinuous" vertical="top" wrapText="1"/>
      <protection locked="0"/>
    </xf>
    <xf numFmtId="49" fontId="101" fillId="32" borderId="77" xfId="0" applyNumberFormat="1" applyFont="1" applyFill="1" applyBorder="1" applyAlignment="1" applyProtection="1">
      <alignment horizontal="centerContinuous" vertical="top" wrapText="1"/>
      <protection locked="0"/>
    </xf>
    <xf numFmtId="49" fontId="68" fillId="32" borderId="253" xfId="0" applyNumberFormat="1" applyFont="1" applyFill="1" applyBorder="1" applyAlignment="1" applyProtection="1">
      <alignment horizontal="centerContinuous" vertical="top" wrapText="1"/>
      <protection locked="0"/>
    </xf>
    <xf numFmtId="49" fontId="68" fillId="32" borderId="254" xfId="0" applyNumberFormat="1" applyFont="1" applyFill="1" applyBorder="1" applyAlignment="1" applyProtection="1">
      <alignment horizontal="centerContinuous" vertical="top" wrapText="1"/>
      <protection locked="0"/>
    </xf>
    <xf numFmtId="49" fontId="68" fillId="32" borderId="255" xfId="0" applyNumberFormat="1" applyFont="1" applyFill="1" applyBorder="1" applyAlignment="1" applyProtection="1">
      <alignment horizontal="centerContinuous" vertical="top" wrapText="1"/>
      <protection locked="0"/>
    </xf>
    <xf numFmtId="0" fontId="68" fillId="32" borderId="256" xfId="0" applyFont="1" applyFill="1" applyBorder="1" applyAlignment="1" applyProtection="1">
      <alignment horizontal="centerContinuous" vertical="top" wrapText="1"/>
      <protection locked="0"/>
    </xf>
    <xf numFmtId="0" fontId="68" fillId="32" borderId="257" xfId="0" applyFont="1" applyFill="1" applyBorder="1" applyAlignment="1" applyProtection="1">
      <alignment horizontal="centerContinuous" vertical="top" wrapText="1"/>
      <protection locked="0"/>
    </xf>
    <xf numFmtId="0" fontId="68" fillId="32" borderId="258" xfId="0" applyFont="1" applyFill="1" applyBorder="1" applyAlignment="1" applyProtection="1">
      <alignment horizontal="centerContinuous" vertical="top" wrapText="1"/>
      <protection locked="0"/>
    </xf>
    <xf numFmtId="49" fontId="101" fillId="32" borderId="33" xfId="0" applyNumberFormat="1" applyFont="1" applyFill="1" applyBorder="1" applyAlignment="1" applyProtection="1">
      <alignment horizontal="centerContinuous" vertical="top" wrapText="1"/>
      <protection locked="0"/>
    </xf>
    <xf numFmtId="49" fontId="101" fillId="32" borderId="47" xfId="0" applyNumberFormat="1" applyFont="1" applyFill="1" applyBorder="1" applyAlignment="1" applyProtection="1">
      <alignment horizontal="centerContinuous" vertical="top" wrapText="1"/>
      <protection locked="0"/>
    </xf>
    <xf numFmtId="49" fontId="101" fillId="32" borderId="56"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49" xfId="0" applyNumberFormat="1" applyFont="1" applyBorder="1"/>
    <xf numFmtId="37" fontId="101" fillId="0" borderId="250" xfId="0" applyNumberFormat="1" applyFont="1" applyBorder="1"/>
    <xf numFmtId="37" fontId="101" fillId="0" borderId="251" xfId="0" applyNumberFormat="1" applyFont="1" applyBorder="1"/>
    <xf numFmtId="37" fontId="101" fillId="0" borderId="252" xfId="0" applyNumberFormat="1" applyFont="1" applyBorder="1"/>
    <xf numFmtId="172" fontId="101" fillId="0" borderId="246" xfId="0" applyNumberFormat="1" applyFont="1" applyBorder="1" applyAlignment="1">
      <alignment horizontal="center"/>
    </xf>
    <xf numFmtId="0" fontId="171" fillId="79" borderId="0" xfId="0" applyFont="1" applyFill="1" applyAlignment="1">
      <alignment horizontal="centerContinuous"/>
    </xf>
    <xf numFmtId="0" fontId="99" fillId="0" borderId="18" xfId="0" applyFont="1" applyBorder="1" applyAlignment="1">
      <alignment horizontal="centerContinuous" wrapText="1"/>
    </xf>
    <xf numFmtId="5" fontId="68" fillId="32" borderId="29" xfId="181" applyNumberFormat="1" applyFont="1" applyFill="1" applyBorder="1" applyAlignment="1">
      <alignment horizontal="right"/>
    </xf>
    <xf numFmtId="165" fontId="68" fillId="32" borderId="246" xfId="181" applyNumberFormat="1" applyFont="1" applyFill="1" applyBorder="1" applyAlignment="1">
      <alignment horizontal="right"/>
    </xf>
    <xf numFmtId="165" fontId="68" fillId="32" borderId="259" xfId="181" applyNumberFormat="1" applyFont="1" applyFill="1" applyBorder="1" applyAlignment="1">
      <alignment horizontal="right"/>
    </xf>
    <xf numFmtId="0" fontId="157" fillId="0" borderId="0" xfId="0" applyFont="1" applyAlignment="1">
      <alignment horizontal="left"/>
    </xf>
    <xf numFmtId="0" fontId="102" fillId="0" borderId="76" xfId="0" applyFont="1" applyBorder="1" applyAlignment="1">
      <alignment horizontal="center" wrapText="1"/>
    </xf>
    <xf numFmtId="169" fontId="145" fillId="0" borderId="43" xfId="0" applyNumberFormat="1" applyFont="1" applyBorder="1"/>
    <xf numFmtId="171" fontId="145" fillId="0" borderId="45" xfId="0" applyNumberFormat="1" applyFont="1" applyBorder="1"/>
    <xf numFmtId="169" fontId="145" fillId="0" borderId="234" xfId="0" applyNumberFormat="1" applyFont="1" applyBorder="1"/>
    <xf numFmtId="171" fontId="145" fillId="0" borderId="233" xfId="0" applyNumberFormat="1" applyFont="1" applyBorder="1"/>
    <xf numFmtId="169" fontId="145" fillId="0" borderId="235" xfId="0" applyNumberFormat="1" applyFont="1" applyBorder="1"/>
    <xf numFmtId="171" fontId="145" fillId="0" borderId="237" xfId="0" applyNumberFormat="1" applyFont="1" applyBorder="1"/>
    <xf numFmtId="0" fontId="70" fillId="0" borderId="24" xfId="0" applyFont="1" applyBorder="1" applyAlignment="1">
      <alignment horizontal="center" wrapText="1"/>
    </xf>
    <xf numFmtId="0" fontId="68" fillId="0" borderId="42" xfId="0" applyFont="1" applyBorder="1"/>
    <xf numFmtId="3" fontId="68" fillId="36" borderId="246" xfId="0" applyNumberFormat="1" applyFont="1" applyFill="1" applyBorder="1" applyAlignment="1">
      <alignment horizontal="right"/>
    </xf>
    <xf numFmtId="0" fontId="169" fillId="32" borderId="246"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0" fontId="70" fillId="0" borderId="57" xfId="0" quotePrefix="1" applyFont="1" applyBorder="1" applyAlignment="1">
      <alignment horizontal="center"/>
    </xf>
    <xf numFmtId="37" fontId="70" fillId="0" borderId="57" xfId="0" applyNumberFormat="1" applyFont="1" applyBorder="1"/>
    <xf numFmtId="0" fontId="155" fillId="32" borderId="30" xfId="0" applyFont="1" applyFill="1" applyBorder="1" applyAlignment="1" applyProtection="1">
      <alignment horizontal="centerContinuous"/>
      <protection locked="0"/>
    </xf>
    <xf numFmtId="0" fontId="155" fillId="32" borderId="51"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38" xfId="0" applyFont="1" applyFill="1" applyBorder="1" applyAlignment="1">
      <alignment wrapText="1"/>
    </xf>
    <xf numFmtId="3" fontId="145" fillId="32" borderId="213" xfId="0" applyNumberFormat="1" applyFont="1" applyFill="1" applyBorder="1"/>
    <xf numFmtId="4" fontId="74" fillId="0" borderId="24" xfId="181" applyNumberFormat="1" applyFont="1" applyBorder="1" applyProtection="1"/>
    <xf numFmtId="0" fontId="70" fillId="71" borderId="246" xfId="0" applyFont="1" applyFill="1" applyBorder="1"/>
    <xf numFmtId="4" fontId="68" fillId="0" borderId="246" xfId="181" applyNumberFormat="1" applyFont="1" applyBorder="1" applyProtection="1"/>
    <xf numFmtId="0" fontId="68" fillId="0" borderId="24" xfId="0" applyFont="1" applyBorder="1" applyAlignment="1">
      <alignment horizontal="center"/>
    </xf>
    <xf numFmtId="0" fontId="68" fillId="0" borderId="246" xfId="0" applyFont="1" applyBorder="1" applyAlignment="1">
      <alignment horizontal="center"/>
    </xf>
    <xf numFmtId="3" fontId="150" fillId="32" borderId="246" xfId="0" applyNumberFormat="1" applyFont="1" applyFill="1" applyBorder="1" applyAlignment="1" applyProtection="1">
      <alignment horizontal="right"/>
      <protection locked="0"/>
    </xf>
    <xf numFmtId="4" fontId="68" fillId="0" borderId="246" xfId="0" applyNumberFormat="1" applyFont="1" applyBorder="1"/>
    <xf numFmtId="3" fontId="68" fillId="0" borderId="246" xfId="0" applyNumberFormat="1" applyFont="1" applyBorder="1"/>
    <xf numFmtId="0" fontId="96" fillId="0" borderId="15" xfId="0" applyFont="1" applyBorder="1"/>
    <xf numFmtId="0" fontId="96" fillId="0" borderId="246" xfId="0" applyFont="1" applyBorder="1"/>
    <xf numFmtId="0" fontId="96" fillId="0" borderId="219" xfId="0" applyFont="1" applyBorder="1" applyAlignment="1">
      <alignment horizontal="center"/>
    </xf>
    <xf numFmtId="3" fontId="151" fillId="32" borderId="246" xfId="0" applyNumberFormat="1" applyFont="1" applyFill="1" applyBorder="1" applyProtection="1">
      <protection locked="0"/>
    </xf>
    <xf numFmtId="2" fontId="154" fillId="32" borderId="24" xfId="0"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3" xfId="0" applyFont="1" applyBorder="1" applyAlignment="1">
      <alignment horizontal="centerContinuous"/>
    </xf>
    <xf numFmtId="0" fontId="70" fillId="0" borderId="44" xfId="0" applyFont="1" applyBorder="1" applyAlignment="1">
      <alignment horizontal="centerContinuous"/>
    </xf>
    <xf numFmtId="0" fontId="70" fillId="70" borderId="79" xfId="0" applyFont="1" applyFill="1" applyBorder="1" applyAlignment="1">
      <alignment horizontal="center"/>
    </xf>
    <xf numFmtId="0" fontId="70" fillId="0" borderId="46" xfId="0" applyFont="1" applyBorder="1" applyAlignment="1">
      <alignment horizontal="centerContinuous"/>
    </xf>
    <xf numFmtId="0" fontId="70" fillId="0" borderId="136"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 fontId="152" fillId="32" borderId="29" xfId="0" applyNumberFormat="1" applyFont="1" applyFill="1" applyBorder="1" applyProtection="1">
      <protection locked="0"/>
    </xf>
    <xf numFmtId="3" fontId="101" fillId="0" borderId="29"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29" xfId="0" applyNumberFormat="1" applyFont="1" applyBorder="1"/>
    <xf numFmtId="3" fontId="68" fillId="0" borderId="168" xfId="0" applyNumberFormat="1" applyFont="1" applyBorder="1"/>
    <xf numFmtId="168" fontId="150" fillId="32" borderId="172" xfId="182" applyNumberFormat="1" applyFont="1" applyFill="1" applyBorder="1" applyProtection="1">
      <protection locked="0"/>
    </xf>
    <xf numFmtId="168" fontId="103" fillId="74" borderId="159" xfId="0" applyNumberFormat="1" applyFont="1" applyFill="1" applyBorder="1"/>
    <xf numFmtId="168" fontId="151" fillId="33" borderId="140" xfId="0" applyNumberFormat="1" applyFont="1" applyFill="1" applyBorder="1" applyProtection="1">
      <protection locked="0"/>
    </xf>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76" xfId="0" applyFont="1" applyBorder="1" applyAlignment="1">
      <alignment horizontal="centerContinuous" vertical="top" wrapText="1"/>
    </xf>
    <xf numFmtId="0" fontId="67" fillId="0" borderId="78" xfId="0" applyFont="1" applyBorder="1" applyAlignment="1">
      <alignment horizontal="centerContinuous" vertical="top" wrapText="1"/>
    </xf>
    <xf numFmtId="0" fontId="68" fillId="32" borderId="260" xfId="495" applyFont="1" applyFill="1" applyBorder="1" applyAlignment="1">
      <alignment horizontal="center" wrapText="1"/>
    </xf>
    <xf numFmtId="3" fontId="68" fillId="32" borderId="260" xfId="181" applyNumberFormat="1" applyFont="1" applyFill="1" applyBorder="1"/>
    <xf numFmtId="3" fontId="68" fillId="36" borderId="260" xfId="0" applyNumberFormat="1" applyFont="1" applyFill="1" applyBorder="1" applyAlignment="1">
      <alignment horizontal="right"/>
    </xf>
    <xf numFmtId="0" fontId="145" fillId="32" borderId="260" xfId="49352" applyNumberFormat="1" applyFont="1" applyFill="1" applyBorder="1" applyAlignment="1">
      <alignment horizontal="center" wrapText="1"/>
    </xf>
    <xf numFmtId="0" fontId="145" fillId="32" borderId="260" xfId="49352" applyFont="1" applyFill="1" applyBorder="1" applyAlignment="1">
      <alignment horizontal="center" wrapText="1"/>
    </xf>
    <xf numFmtId="0" fontId="145" fillId="32" borderId="18" xfId="0" applyFont="1" applyFill="1" applyBorder="1" applyAlignment="1">
      <alignment wrapText="1"/>
    </xf>
    <xf numFmtId="0" fontId="100" fillId="0" borderId="260" xfId="0" applyFont="1" applyBorder="1"/>
    <xf numFmtId="0" fontId="100" fillId="0" borderId="260" xfId="0" applyFont="1" applyBorder="1" applyAlignment="1">
      <alignment horizontal="left" wrapText="1"/>
    </xf>
    <xf numFmtId="3" fontId="100" fillId="0" borderId="260" xfId="0" applyNumberFormat="1" applyFont="1" applyBorder="1" applyAlignment="1">
      <alignment horizontal="right" wrapText="1"/>
    </xf>
    <xf numFmtId="3" fontId="100" fillId="36" borderId="260" xfId="0" applyNumberFormat="1" applyFont="1" applyFill="1" applyBorder="1" applyAlignment="1">
      <alignment horizontal="right" wrapText="1"/>
    </xf>
    <xf numFmtId="3" fontId="68" fillId="32" borderId="260" xfId="0" applyNumberFormat="1" applyFont="1" applyFill="1" applyBorder="1"/>
    <xf numFmtId="168" fontId="100" fillId="32" borderId="260" xfId="0" applyNumberFormat="1" applyFont="1" applyFill="1" applyBorder="1"/>
    <xf numFmtId="0" fontId="70" fillId="0" borderId="260" xfId="0" applyFont="1" applyBorder="1" applyAlignment="1">
      <alignment horizontal="center" wrapText="1"/>
    </xf>
    <xf numFmtId="0" fontId="70" fillId="0" borderId="247" xfId="0" applyFont="1" applyBorder="1" applyAlignment="1">
      <alignment horizontal="center"/>
    </xf>
    <xf numFmtId="3" fontId="70" fillId="0" borderId="259" xfId="0" applyNumberFormat="1" applyFont="1" applyBorder="1" applyAlignment="1">
      <alignment horizontal="center"/>
    </xf>
    <xf numFmtId="3" fontId="70" fillId="0" borderId="260" xfId="0" applyNumberFormat="1" applyFont="1" applyBorder="1" applyAlignment="1">
      <alignment horizontal="center"/>
    </xf>
    <xf numFmtId="166" fontId="68" fillId="36" borderId="248" xfId="0" applyNumberFormat="1" applyFont="1" applyFill="1" applyBorder="1"/>
    <xf numFmtId="166" fontId="68" fillId="69" borderId="233" xfId="0" applyNumberFormat="1" applyFont="1" applyFill="1" applyBorder="1"/>
    <xf numFmtId="166" fontId="68" fillId="32" borderId="233" xfId="0" applyNumberFormat="1" applyFont="1" applyFill="1" applyBorder="1"/>
    <xf numFmtId="166" fontId="68" fillId="36" borderId="220" xfId="0" applyNumberFormat="1" applyFont="1" applyFill="1" applyBorder="1"/>
    <xf numFmtId="166" fontId="68" fillId="36" borderId="246" xfId="0" applyNumberFormat="1" applyFont="1" applyFill="1" applyBorder="1"/>
    <xf numFmtId="171" fontId="68" fillId="32" borderId="233" xfId="182" applyNumberFormat="1" applyFont="1" applyFill="1" applyBorder="1"/>
    <xf numFmtId="169" fontId="74" fillId="32" borderId="246" xfId="17654" applyNumberFormat="1" applyFont="1" applyFill="1" applyBorder="1"/>
    <xf numFmtId="166" fontId="68" fillId="36" borderId="219" xfId="0" applyNumberFormat="1" applyFont="1" applyFill="1" applyBorder="1"/>
    <xf numFmtId="166" fontId="68" fillId="32" borderId="246" xfId="182" applyNumberFormat="1" applyFont="1" applyFill="1" applyBorder="1"/>
    <xf numFmtId="166" fontId="74" fillId="32" borderId="246" xfId="17654" applyNumberFormat="1" applyFont="1" applyFill="1" applyBorder="1"/>
    <xf numFmtId="0" fontId="68" fillId="0" borderId="259" xfId="0" applyFont="1" applyBorder="1"/>
    <xf numFmtId="166" fontId="68" fillId="36" borderId="222" xfId="0" applyNumberFormat="1" applyFont="1" applyFill="1" applyBorder="1"/>
    <xf numFmtId="166" fontId="68" fillId="36" borderId="259" xfId="0" applyNumberFormat="1" applyFont="1" applyFill="1" applyBorder="1"/>
    <xf numFmtId="171" fontId="68" fillId="32" borderId="237" xfId="182" applyNumberFormat="1" applyFont="1" applyFill="1" applyBorder="1"/>
    <xf numFmtId="166" fontId="68" fillId="32" borderId="259" xfId="182" applyNumberFormat="1" applyFont="1" applyFill="1" applyBorder="1"/>
    <xf numFmtId="166" fontId="74" fillId="32" borderId="247" xfId="17654" applyNumberFormat="1" applyFont="1" applyFill="1" applyBorder="1"/>
    <xf numFmtId="166" fontId="100" fillId="36" borderId="260" xfId="0" applyNumberFormat="1" applyFont="1" applyFill="1" applyBorder="1"/>
    <xf numFmtId="3" fontId="74" fillId="0" borderId="239" xfId="181" applyNumberFormat="1" applyFont="1" applyBorder="1" applyProtection="1"/>
    <xf numFmtId="49" fontId="71" fillId="0" borderId="261" xfId="0" applyNumberFormat="1" applyFont="1" applyBorder="1" applyAlignment="1">
      <alignment horizontal="center"/>
    </xf>
    <xf numFmtId="0" fontId="71" fillId="0" borderId="262" xfId="0" applyFont="1" applyBorder="1" applyAlignment="1">
      <alignment horizontal="center"/>
    </xf>
    <xf numFmtId="0" fontId="71" fillId="0" borderId="263" xfId="0" applyFont="1" applyBorder="1" applyAlignment="1">
      <alignment horizontal="center"/>
    </xf>
    <xf numFmtId="0" fontId="71" fillId="0" borderId="264" xfId="0" applyFont="1" applyBorder="1" applyAlignment="1">
      <alignment horizontal="center"/>
    </xf>
    <xf numFmtId="10" fontId="74" fillId="0" borderId="239" xfId="3292" quotePrefix="1" applyNumberFormat="1" applyFont="1" applyFill="1" applyBorder="1" applyAlignment="1" applyProtection="1">
      <alignment horizontal="right"/>
    </xf>
    <xf numFmtId="167" fontId="74" fillId="0" borderId="240" xfId="3292" applyNumberFormat="1" applyFont="1" applyBorder="1" applyAlignment="1" applyProtection="1">
      <alignment horizontal="right"/>
    </xf>
    <xf numFmtId="3" fontId="74" fillId="0" borderId="217" xfId="181" applyNumberFormat="1" applyFont="1" applyBorder="1" applyAlignment="1" applyProtection="1"/>
    <xf numFmtId="3" fontId="74" fillId="0" borderId="217" xfId="181" applyNumberFormat="1" applyFont="1" applyBorder="1" applyProtection="1"/>
    <xf numFmtId="3" fontId="74" fillId="0" borderId="209" xfId="181" applyNumberFormat="1" applyFont="1" applyBorder="1" applyAlignment="1" applyProtection="1"/>
    <xf numFmtId="3" fontId="74" fillId="0" borderId="209" xfId="181" applyNumberFormat="1" applyFont="1" applyBorder="1" applyProtection="1"/>
    <xf numFmtId="0" fontId="70" fillId="0" borderId="216" xfId="0" applyFont="1" applyBorder="1"/>
    <xf numFmtId="37" fontId="74" fillId="0" borderId="265" xfId="0" applyNumberFormat="1" applyFont="1" applyBorder="1"/>
    <xf numFmtId="37" fontId="72" fillId="0" borderId="265" xfId="0" applyNumberFormat="1" applyFont="1" applyBorder="1" applyAlignment="1">
      <alignment horizontal="right"/>
    </xf>
    <xf numFmtId="37" fontId="70" fillId="0" borderId="216" xfId="0" applyNumberFormat="1" applyFont="1" applyBorder="1"/>
    <xf numFmtId="0" fontId="99" fillId="0" borderId="266" xfId="0" applyFont="1" applyBorder="1" applyAlignment="1">
      <alignment horizontal="centerContinuous"/>
    </xf>
    <xf numFmtId="0" fontId="70" fillId="0" borderId="266" xfId="0" applyFont="1" applyBorder="1" applyAlignment="1">
      <alignment horizontal="left"/>
    </xf>
    <xf numFmtId="0" fontId="70" fillId="0" borderId="267" xfId="0" applyFont="1" applyBorder="1" applyAlignment="1">
      <alignment horizontal="center"/>
    </xf>
    <xf numFmtId="0" fontId="165" fillId="71" borderId="260" xfId="0" applyFont="1" applyFill="1" applyBorder="1"/>
    <xf numFmtId="4" fontId="68" fillId="0" borderId="260" xfId="181" applyNumberFormat="1" applyFont="1" applyBorder="1" applyProtection="1"/>
    <xf numFmtId="4" fontId="68" fillId="0" borderId="222" xfId="181" applyNumberFormat="1" applyFont="1" applyBorder="1" applyProtection="1"/>
    <xf numFmtId="0" fontId="70" fillId="0" borderId="266" xfId="0" applyFont="1" applyBorder="1" applyAlignment="1">
      <alignment horizontal="center"/>
    </xf>
    <xf numFmtId="4" fontId="150" fillId="32" borderId="247" xfId="0" applyNumberFormat="1" applyFont="1" applyFill="1" applyBorder="1" applyProtection="1">
      <protection locked="0"/>
    </xf>
    <xf numFmtId="0" fontId="70" fillId="71" borderId="260" xfId="0" applyFont="1" applyFill="1" applyBorder="1"/>
    <xf numFmtId="4" fontId="150" fillId="32" borderId="223" xfId="0" applyNumberFormat="1" applyFont="1" applyFill="1" applyBorder="1" applyProtection="1">
      <protection locked="0"/>
    </xf>
    <xf numFmtId="4" fontId="68" fillId="0" borderId="223" xfId="181" applyNumberFormat="1" applyFont="1" applyBorder="1" applyProtection="1"/>
    <xf numFmtId="4" fontId="74" fillId="0" borderId="246" xfId="0" applyNumberFormat="1" applyFont="1" applyBorder="1"/>
    <xf numFmtId="4" fontId="143" fillId="0" borderId="246" xfId="0" applyNumberFormat="1" applyFont="1" applyBorder="1"/>
    <xf numFmtId="2" fontId="154" fillId="32" borderId="223" xfId="181" applyNumberFormat="1" applyFont="1" applyFill="1" applyBorder="1" applyProtection="1">
      <protection locked="0"/>
    </xf>
    <xf numFmtId="2" fontId="70" fillId="71" borderId="260" xfId="0" applyNumberFormat="1" applyFont="1" applyFill="1" applyBorder="1"/>
    <xf numFmtId="4" fontId="143" fillId="0" borderId="223" xfId="0" applyNumberFormat="1" applyFont="1" applyBorder="1"/>
    <xf numFmtId="4" fontId="68" fillId="0" borderId="260" xfId="181" applyNumberFormat="1" applyFont="1" applyFill="1" applyBorder="1" applyProtection="1"/>
    <xf numFmtId="4" fontId="68" fillId="0" borderId="222" xfId="181" applyNumberFormat="1" applyFont="1" applyFill="1" applyBorder="1" applyProtection="1"/>
    <xf numFmtId="4" fontId="68" fillId="0" borderId="223" xfId="181" applyNumberFormat="1" applyFont="1" applyFill="1" applyBorder="1" applyProtection="1"/>
    <xf numFmtId="4" fontId="68" fillId="0" borderId="267" xfId="181" applyNumberFormat="1" applyFont="1" applyFill="1" applyBorder="1" applyProtection="1"/>
    <xf numFmtId="0" fontId="100" fillId="0" borderId="266" xfId="0" applyFont="1" applyBorder="1" applyAlignment="1">
      <alignment horizontal="centerContinuous"/>
    </xf>
    <xf numFmtId="3" fontId="150" fillId="32" borderId="260" xfId="0" applyNumberFormat="1" applyFont="1" applyFill="1" applyBorder="1" applyAlignment="1" applyProtection="1">
      <alignment horizontal="right"/>
      <protection locked="0"/>
    </xf>
    <xf numFmtId="0" fontId="70" fillId="0" borderId="223" xfId="0" applyFont="1" applyBorder="1"/>
    <xf numFmtId="3" fontId="70" fillId="0" borderId="223" xfId="0" applyNumberFormat="1" applyFont="1" applyBorder="1"/>
    <xf numFmtId="4" fontId="70" fillId="0" borderId="223" xfId="0" applyNumberFormat="1" applyFont="1" applyBorder="1"/>
    <xf numFmtId="168" fontId="70" fillId="0" borderId="223" xfId="0" applyNumberFormat="1" applyFont="1" applyBorder="1"/>
    <xf numFmtId="0" fontId="70" fillId="0" borderId="260" xfId="0" applyFont="1" applyBorder="1"/>
    <xf numFmtId="3" fontId="70" fillId="0" borderId="260" xfId="0" applyNumberFormat="1" applyFont="1" applyBorder="1"/>
    <xf numFmtId="0" fontId="68" fillId="0" borderId="223" xfId="0" applyFont="1" applyBorder="1"/>
    <xf numFmtId="0" fontId="68" fillId="0" borderId="223" xfId="0" applyFont="1" applyBorder="1" applyAlignment="1">
      <alignment horizontal="center"/>
    </xf>
    <xf numFmtId="3" fontId="150" fillId="32" borderId="223" xfId="0" applyNumberFormat="1" applyFont="1" applyFill="1" applyBorder="1" applyAlignment="1" applyProtection="1">
      <alignment horizontal="right"/>
      <protection locked="0"/>
    </xf>
    <xf numFmtId="4" fontId="68" fillId="0" borderId="223" xfId="0" applyNumberFormat="1" applyFont="1" applyBorder="1"/>
    <xf numFmtId="3" fontId="68" fillId="0" borderId="223" xfId="0" applyNumberFormat="1" applyFont="1" applyBorder="1"/>
    <xf numFmtId="0" fontId="70" fillId="29" borderId="260" xfId="0" applyFont="1" applyFill="1" applyBorder="1"/>
    <xf numFmtId="0" fontId="70" fillId="30" borderId="260" xfId="0" applyFont="1" applyFill="1" applyBorder="1" applyAlignment="1">
      <alignment horizontal="center" wrapText="1"/>
    </xf>
    <xf numFmtId="0" fontId="70" fillId="30" borderId="260" xfId="0" applyFont="1" applyFill="1" applyBorder="1" applyAlignment="1">
      <alignment horizontal="center"/>
    </xf>
    <xf numFmtId="0" fontId="68" fillId="0" borderId="260" xfId="0" applyFont="1" applyBorder="1"/>
    <xf numFmtId="168" fontId="70" fillId="0" borderId="260" xfId="0" applyNumberFormat="1" applyFont="1" applyBorder="1"/>
    <xf numFmtId="4" fontId="70" fillId="0" borderId="260" xfId="0" applyNumberFormat="1" applyFont="1" applyBorder="1"/>
    <xf numFmtId="0" fontId="70" fillId="0" borderId="267" xfId="0" applyFont="1" applyBorder="1"/>
    <xf numFmtId="0" fontId="170" fillId="79" borderId="266" xfId="0" applyFont="1" applyFill="1" applyBorder="1" applyAlignment="1">
      <alignment horizontal="centerContinuous" wrapText="1"/>
    </xf>
    <xf numFmtId="0" fontId="150" fillId="32" borderId="246" xfId="0" applyFont="1" applyFill="1" applyBorder="1" applyProtection="1">
      <protection locked="0"/>
    </xf>
    <xf numFmtId="0" fontId="150" fillId="32" borderId="247" xfId="0" applyFont="1" applyFill="1" applyBorder="1" applyProtection="1">
      <protection locked="0"/>
    </xf>
    <xf numFmtId="3" fontId="150" fillId="32" borderId="247" xfId="0" applyNumberFormat="1" applyFont="1" applyFill="1" applyBorder="1" applyAlignment="1" applyProtection="1">
      <alignment horizontal="right"/>
      <protection locked="0"/>
    </xf>
    <xf numFmtId="0" fontId="99" fillId="0" borderId="266" xfId="0" applyFont="1" applyBorder="1" applyAlignment="1">
      <alignment horizontal="center"/>
    </xf>
    <xf numFmtId="0" fontId="96" fillId="0" borderId="246" xfId="0" applyFont="1" applyBorder="1" applyAlignment="1">
      <alignment horizontal="center"/>
    </xf>
    <xf numFmtId="0" fontId="103" fillId="0" borderId="223" xfId="0" applyFont="1" applyBorder="1"/>
    <xf numFmtId="168" fontId="103" fillId="0" borderId="223" xfId="0" applyNumberFormat="1" applyFont="1" applyBorder="1"/>
    <xf numFmtId="0" fontId="96" fillId="0" borderId="223" xfId="0" applyFont="1" applyBorder="1"/>
    <xf numFmtId="3" fontId="151" fillId="32" borderId="267" xfId="0" applyNumberFormat="1" applyFont="1" applyFill="1" applyBorder="1" applyProtection="1">
      <protection locked="0"/>
    </xf>
    <xf numFmtId="0" fontId="103" fillId="0" borderId="260" xfId="0" applyFont="1" applyBorder="1"/>
    <xf numFmtId="168" fontId="103" fillId="0" borderId="267" xfId="0" applyNumberFormat="1" applyFont="1" applyBorder="1"/>
    <xf numFmtId="0" fontId="118" fillId="0" borderId="266" xfId="0" applyFont="1" applyBorder="1" applyAlignment="1" applyProtection="1">
      <alignment horizontal="left" vertical="top" wrapText="1"/>
      <protection locked="0"/>
    </xf>
    <xf numFmtId="0" fontId="118" fillId="0" borderId="267" xfId="0" applyFont="1" applyBorder="1" applyAlignment="1" applyProtection="1">
      <alignment horizontal="left" vertical="top" wrapText="1"/>
      <protection locked="0"/>
    </xf>
    <xf numFmtId="37" fontId="103" fillId="30" borderId="214" xfId="0" applyNumberFormat="1" applyFont="1" applyFill="1" applyBorder="1" applyAlignment="1">
      <alignment horizontal="left"/>
    </xf>
    <xf numFmtId="37" fontId="96" fillId="74" borderId="213" xfId="0" applyNumberFormat="1" applyFont="1" applyFill="1" applyBorder="1" applyAlignment="1">
      <alignment horizontal="right"/>
    </xf>
    <xf numFmtId="37" fontId="123" fillId="74" borderId="226" xfId="0" applyNumberFormat="1" applyFont="1" applyFill="1" applyBorder="1"/>
    <xf numFmtId="0" fontId="131" fillId="32" borderId="266" xfId="0" applyFont="1" applyFill="1" applyBorder="1" applyAlignment="1">
      <alignment horizontal="left"/>
    </xf>
    <xf numFmtId="3" fontId="151" fillId="32" borderId="260" xfId="0" applyNumberFormat="1" applyFont="1" applyFill="1" applyBorder="1" applyProtection="1">
      <protection locked="0"/>
    </xf>
    <xf numFmtId="0" fontId="99" fillId="0" borderId="266" xfId="0" applyFont="1" applyBorder="1" applyAlignment="1">
      <alignment horizontal="centerContinuous" vertical="center"/>
    </xf>
    <xf numFmtId="0" fontId="101" fillId="75" borderId="246" xfId="0" applyFont="1" applyFill="1" applyBorder="1"/>
    <xf numFmtId="3" fontId="153" fillId="0" borderId="246" xfId="0" applyNumberFormat="1" applyFont="1" applyBorder="1"/>
    <xf numFmtId="168" fontId="99" fillId="30" borderId="260" xfId="378" applyNumberFormat="1" applyFont="1" applyFill="1" applyBorder="1" applyProtection="1"/>
    <xf numFmtId="168" fontId="99" fillId="30" borderId="267" xfId="378" applyNumberFormat="1" applyFont="1" applyFill="1" applyBorder="1" applyProtection="1"/>
    <xf numFmtId="0" fontId="118" fillId="0" borderId="269" xfId="0" applyFont="1" applyBorder="1" applyAlignment="1">
      <alignment wrapText="1"/>
    </xf>
    <xf numFmtId="0" fontId="119" fillId="0" borderId="269" xfId="0" applyFont="1" applyBorder="1" applyAlignment="1">
      <alignment wrapText="1"/>
    </xf>
    <xf numFmtId="0" fontId="120" fillId="0" borderId="269" xfId="0" applyFont="1" applyBorder="1" applyAlignment="1">
      <alignment wrapText="1"/>
    </xf>
    <xf numFmtId="4" fontId="18" fillId="0" borderId="266" xfId="0" applyNumberFormat="1" applyFont="1" applyBorder="1" applyAlignment="1">
      <alignment horizontal="center" wrapText="1"/>
    </xf>
    <xf numFmtId="0" fontId="157" fillId="32" borderId="266" xfId="0" applyFont="1" applyFill="1" applyBorder="1" applyAlignment="1">
      <alignment horizontal="left"/>
    </xf>
    <xf numFmtId="0" fontId="70" fillId="0" borderId="267" xfId="0" applyFont="1" applyBorder="1" applyAlignment="1">
      <alignment horizontal="center" wrapText="1"/>
    </xf>
    <xf numFmtId="5" fontId="68" fillId="32" borderId="269" xfId="181" applyNumberFormat="1" applyFont="1" applyFill="1" applyBorder="1" applyAlignment="1">
      <alignment horizontal="right"/>
    </xf>
    <xf numFmtId="165" fontId="68" fillId="32" borderId="269" xfId="181" applyNumberFormat="1" applyFont="1" applyFill="1" applyBorder="1" applyAlignment="1">
      <alignment horizontal="right"/>
    </xf>
    <xf numFmtId="0" fontId="68" fillId="32" borderId="268" xfId="495" applyFont="1" applyFill="1" applyBorder="1" applyAlignment="1">
      <alignment horizontal="center" wrapText="1"/>
    </xf>
    <xf numFmtId="0" fontId="68" fillId="78" borderId="270" xfId="0" applyFont="1" applyFill="1" applyBorder="1"/>
    <xf numFmtId="0" fontId="68" fillId="78" borderId="266" xfId="0" applyFont="1" applyFill="1" applyBorder="1" applyAlignment="1">
      <alignment wrapText="1"/>
    </xf>
    <xf numFmtId="0" fontId="68" fillId="0" borderId="266" xfId="0" applyFont="1" applyBorder="1"/>
    <xf numFmtId="0" fontId="68" fillId="0" borderId="271" xfId="0" applyFont="1" applyBorder="1"/>
    <xf numFmtId="3" fontId="70" fillId="70" borderId="266" xfId="0" applyNumberFormat="1" applyFont="1" applyFill="1" applyBorder="1"/>
    <xf numFmtId="166" fontId="68" fillId="36" borderId="272" xfId="0" applyNumberFormat="1" applyFont="1" applyFill="1" applyBorder="1"/>
    <xf numFmtId="0" fontId="68" fillId="0" borderId="272" xfId="0" applyFont="1" applyBorder="1"/>
    <xf numFmtId="166" fontId="68" fillId="36" borderId="273" xfId="0" applyNumberFormat="1" applyFont="1" applyFill="1" applyBorder="1"/>
    <xf numFmtId="0" fontId="172" fillId="32" borderId="266" xfId="0" applyFont="1" applyFill="1" applyBorder="1" applyAlignment="1">
      <alignment horizontal="left"/>
    </xf>
    <xf numFmtId="5" fontId="68" fillId="32" borderId="272" xfId="181" applyNumberFormat="1" applyFont="1" applyFill="1" applyBorder="1" applyAlignment="1">
      <alignment horizontal="right"/>
    </xf>
    <xf numFmtId="0" fontId="70" fillId="0" borderId="274" xfId="0" quotePrefix="1" applyFont="1" applyBorder="1" applyAlignment="1">
      <alignment horizontal="left"/>
    </xf>
    <xf numFmtId="3" fontId="74" fillId="0" borderId="275" xfId="181" quotePrefix="1" applyNumberFormat="1" applyFont="1" applyFill="1" applyBorder="1" applyAlignment="1" applyProtection="1"/>
    <xf numFmtId="3" fontId="74" fillId="0" borderId="276" xfId="181" applyNumberFormat="1" applyFont="1" applyBorder="1" applyAlignment="1" applyProtection="1"/>
    <xf numFmtId="0" fontId="70" fillId="0" borderId="274" xfId="0" applyFont="1" applyBorder="1"/>
    <xf numFmtId="37" fontId="74" fillId="0" borderId="277" xfId="0" applyNumberFormat="1" applyFont="1" applyBorder="1" applyAlignment="1">
      <alignment horizontal="left"/>
    </xf>
    <xf numFmtId="37" fontId="72" fillId="0" borderId="277" xfId="0" applyNumberFormat="1" applyFont="1" applyBorder="1" applyAlignment="1">
      <alignment horizontal="right"/>
    </xf>
    <xf numFmtId="37" fontId="74" fillId="0" borderId="277" xfId="0" applyNumberFormat="1" applyFont="1" applyBorder="1"/>
    <xf numFmtId="37" fontId="74" fillId="0" borderId="274" xfId="0" quotePrefix="1" applyNumberFormat="1" applyFont="1" applyBorder="1"/>
    <xf numFmtId="37" fontId="70" fillId="0" borderId="274" xfId="0" applyNumberFormat="1" applyFont="1" applyBorder="1"/>
    <xf numFmtId="4" fontId="154" fillId="32" borderId="272" xfId="0" applyNumberFormat="1" applyFont="1" applyFill="1" applyBorder="1" applyProtection="1">
      <protection locked="0"/>
    </xf>
    <xf numFmtId="4" fontId="68" fillId="0" borderId="272" xfId="181" applyNumberFormat="1" applyFont="1" applyBorder="1" applyProtection="1"/>
    <xf numFmtId="4" fontId="150" fillId="32" borderId="272" xfId="0" applyNumberFormat="1" applyFont="1" applyFill="1" applyBorder="1" applyProtection="1">
      <protection locked="0"/>
    </xf>
    <xf numFmtId="4" fontId="68" fillId="0" borderId="272" xfId="181" applyNumberFormat="1" applyFont="1" applyFill="1" applyBorder="1" applyProtection="1"/>
    <xf numFmtId="3" fontId="150" fillId="32" borderId="278" xfId="0" applyNumberFormat="1" applyFont="1" applyFill="1" applyBorder="1" applyAlignment="1" applyProtection="1">
      <alignment horizontal="right"/>
      <protection locked="0"/>
    </xf>
    <xf numFmtId="0" fontId="68" fillId="0" borderId="272" xfId="0" applyFont="1" applyBorder="1" applyAlignment="1">
      <alignment horizontal="center"/>
    </xf>
    <xf numFmtId="4" fontId="68" fillId="0" borderId="272" xfId="0" applyNumberFormat="1" applyFont="1" applyBorder="1"/>
    <xf numFmtId="3" fontId="68" fillId="0" borderId="272" xfId="0" applyNumberFormat="1" applyFont="1" applyBorder="1"/>
    <xf numFmtId="0" fontId="150" fillId="32" borderId="272" xfId="0" applyFont="1" applyFill="1" applyBorder="1" applyProtection="1">
      <protection locked="0"/>
    </xf>
    <xf numFmtId="3" fontId="150" fillId="32" borderId="272" xfId="0" applyNumberFormat="1" applyFont="1" applyFill="1" applyBorder="1" applyAlignment="1" applyProtection="1">
      <alignment horizontal="right"/>
      <protection locked="0"/>
    </xf>
    <xf numFmtId="5" fontId="124" fillId="30" borderId="279" xfId="0" quotePrefix="1" applyNumberFormat="1" applyFont="1" applyFill="1" applyBorder="1" applyAlignment="1">
      <alignment horizontal="right"/>
    </xf>
    <xf numFmtId="5" fontId="124" fillId="74" borderId="279" xfId="0" applyNumberFormat="1" applyFont="1" applyFill="1" applyBorder="1" applyAlignment="1">
      <alignment horizontal="right"/>
    </xf>
    <xf numFmtId="37" fontId="96" fillId="0" borderId="280" xfId="0" applyNumberFormat="1" applyFont="1" applyBorder="1"/>
    <xf numFmtId="5" fontId="124" fillId="74" borderId="276" xfId="0" applyNumberFormat="1" applyFont="1" applyFill="1" applyBorder="1" applyAlignment="1">
      <alignment horizontal="right"/>
    </xf>
    <xf numFmtId="37" fontId="166" fillId="32" borderId="281" xfId="0" applyNumberFormat="1" applyFont="1" applyFill="1" applyBorder="1" applyProtection="1">
      <protection locked="0"/>
    </xf>
    <xf numFmtId="37" fontId="103" fillId="0" borderId="282" xfId="0" applyNumberFormat="1" applyFont="1" applyBorder="1"/>
    <xf numFmtId="37" fontId="96" fillId="0" borderId="274" xfId="0" applyNumberFormat="1" applyFont="1" applyBorder="1"/>
    <xf numFmtId="37" fontId="96" fillId="0" borderId="276" xfId="0" applyNumberFormat="1" applyFont="1" applyBorder="1" applyAlignment="1">
      <alignment horizontal="right"/>
    </xf>
    <xf numFmtId="37" fontId="103" fillId="0" borderId="280" xfId="0" applyNumberFormat="1" applyFont="1" applyBorder="1"/>
    <xf numFmtId="37" fontId="151" fillId="33" borderId="276" xfId="0" applyNumberFormat="1" applyFont="1" applyFill="1" applyBorder="1" applyAlignment="1" applyProtection="1">
      <alignment horizontal="right"/>
      <protection locked="0"/>
    </xf>
    <xf numFmtId="37" fontId="151" fillId="33" borderId="283" xfId="0" applyNumberFormat="1" applyFont="1" applyFill="1" applyBorder="1" applyProtection="1">
      <protection locked="0"/>
    </xf>
    <xf numFmtId="5" fontId="103" fillId="74" borderId="283" xfId="0" applyNumberFormat="1" applyFont="1" applyFill="1" applyBorder="1"/>
    <xf numFmtId="0" fontId="96" fillId="0" borderId="282" xfId="0" applyFont="1" applyBorder="1"/>
    <xf numFmtId="0" fontId="96" fillId="0" borderId="274" xfId="0" applyFont="1" applyBorder="1"/>
    <xf numFmtId="0" fontId="96" fillId="0" borderId="279" xfId="0" applyFont="1" applyBorder="1" applyAlignment="1">
      <alignment horizontal="right"/>
    </xf>
    <xf numFmtId="37" fontId="96" fillId="24" borderId="276" xfId="0" applyNumberFormat="1" applyFont="1" applyFill="1" applyBorder="1"/>
    <xf numFmtId="37" fontId="151" fillId="33" borderId="281" xfId="0" applyNumberFormat="1" applyFont="1" applyFill="1" applyBorder="1" applyProtection="1">
      <protection locked="0"/>
    </xf>
    <xf numFmtId="5" fontId="103" fillId="74" borderId="276" xfId="0" applyNumberFormat="1" applyFont="1" applyFill="1" applyBorder="1"/>
    <xf numFmtId="172" fontId="101" fillId="0" borderId="272" xfId="0" applyNumberFormat="1" applyFont="1" applyBorder="1" applyAlignment="1">
      <alignment horizontal="center"/>
    </xf>
    <xf numFmtId="0" fontId="169" fillId="32" borderId="272" xfId="0" applyFont="1" applyFill="1" applyBorder="1" applyAlignment="1" applyProtection="1">
      <alignment horizontal="right"/>
      <protection locked="0"/>
    </xf>
    <xf numFmtId="0" fontId="101" fillId="0" borderId="272" xfId="0" applyFont="1" applyBorder="1" applyAlignment="1">
      <alignment horizontal="center"/>
    </xf>
    <xf numFmtId="3" fontId="152" fillId="32" borderId="272" xfId="0" applyNumberFormat="1" applyFont="1" applyFill="1" applyBorder="1" applyProtection="1">
      <protection locked="0"/>
    </xf>
    <xf numFmtId="3" fontId="101" fillId="0" borderId="272" xfId="0" applyNumberFormat="1" applyFont="1" applyBorder="1"/>
    <xf numFmtId="0" fontId="120" fillId="0" borderId="284" xfId="0" applyFont="1" applyBorder="1" applyAlignment="1">
      <alignment wrapText="1"/>
    </xf>
    <xf numFmtId="0" fontId="120" fillId="0" borderId="273" xfId="0" applyFont="1" applyBorder="1" applyAlignment="1">
      <alignment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323850</xdr:colOff>
          <xdr:row>4</xdr:row>
          <xdr:rowOff>171450</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9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sheetData sheetId="1"/>
      <sheetData sheetId="2"/>
      <sheetData sheetId="3"/>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9.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35" t="s">
        <v>0</v>
      </c>
      <c r="B1" s="535"/>
      <c r="C1" s="535"/>
      <c r="D1" s="535"/>
      <c r="E1" s="535"/>
    </row>
    <row r="2" spans="1:5" ht="23.25">
      <c r="A2" s="535" t="s">
        <v>1</v>
      </c>
      <c r="B2" s="535"/>
      <c r="C2" s="535"/>
      <c r="D2" s="535"/>
      <c r="E2" s="535"/>
    </row>
    <row r="3" spans="1:5" ht="21" customHeight="1">
      <c r="A3" s="535" t="s">
        <v>2</v>
      </c>
      <c r="B3" s="535"/>
      <c r="C3" s="535"/>
      <c r="D3" s="535"/>
      <c r="E3" s="535"/>
    </row>
    <row r="4" spans="1:5" ht="32.1" customHeight="1">
      <c r="A4" s="8" t="s">
        <v>3</v>
      </c>
      <c r="B4" s="8"/>
      <c r="C4" s="8"/>
      <c r="D4" s="8"/>
      <c r="E4" s="8"/>
    </row>
    <row r="5" spans="1:5" ht="107.25" customHeight="1">
      <c r="A5" s="5" t="s">
        <v>4</v>
      </c>
      <c r="B5" s="6"/>
      <c r="C5" s="1096" t="s">
        <v>5</v>
      </c>
      <c r="D5" s="1096" t="s">
        <v>6</v>
      </c>
      <c r="E5" s="1096" t="s">
        <v>7</v>
      </c>
    </row>
    <row r="6" spans="1:5" s="3" customFormat="1" ht="18" customHeight="1"/>
    <row r="7" spans="1:5" s="3" customFormat="1" ht="20.100000000000001" customHeight="1">
      <c r="A7" s="941" t="s">
        <v>8</v>
      </c>
      <c r="B7" s="942"/>
      <c r="C7" s="943" t="s">
        <v>8</v>
      </c>
      <c r="D7" s="941" t="s">
        <v>8</v>
      </c>
      <c r="E7" s="945" t="s">
        <v>8</v>
      </c>
    </row>
    <row r="8" spans="1:5" s="3" customFormat="1" ht="20.100000000000001" customHeight="1">
      <c r="A8" s="941"/>
      <c r="B8" s="942"/>
      <c r="C8" s="943"/>
      <c r="D8" s="941"/>
      <c r="E8" s="945"/>
    </row>
    <row r="9" spans="1:5" s="3" customFormat="1" ht="20.100000000000001" customHeight="1">
      <c r="A9" s="944"/>
      <c r="B9" s="946"/>
      <c r="C9" s="943"/>
      <c r="D9" s="951"/>
      <c r="E9" s="945"/>
    </row>
    <row r="10" spans="1:5" s="3" customFormat="1" ht="20.100000000000001" customHeight="1">
      <c r="A10" s="947" t="s">
        <v>9</v>
      </c>
      <c r="B10" s="948"/>
      <c r="C10" s="949" t="s">
        <v>8</v>
      </c>
      <c r="D10" s="949"/>
      <c r="E10" s="949" t="s">
        <v>8</v>
      </c>
    </row>
    <row r="11" spans="1:5" s="3" customFormat="1" ht="20.100000000000001" customHeight="1">
      <c r="A11" s="947"/>
      <c r="B11" s="948"/>
      <c r="C11" s="948"/>
      <c r="D11" s="949"/>
      <c r="E11" s="948"/>
    </row>
    <row r="12" spans="1:5" ht="20.100000000000001" customHeight="1">
      <c r="A12" s="948"/>
      <c r="B12" s="948"/>
      <c r="C12" s="948"/>
      <c r="D12" s="949"/>
      <c r="E12" s="948"/>
    </row>
    <row r="13" spans="1:5" ht="20.100000000000001" customHeight="1">
      <c r="A13" s="950" t="s">
        <v>8</v>
      </c>
      <c r="B13" s="948"/>
      <c r="C13" s="948"/>
      <c r="D13" s="949"/>
      <c r="E13" s="948"/>
    </row>
    <row r="14" spans="1:5" ht="20.100000000000001" customHeight="1">
      <c r="A14" s="950"/>
      <c r="B14" s="948"/>
      <c r="C14" s="948"/>
      <c r="D14" s="952"/>
      <c r="E14" s="948"/>
    </row>
    <row r="15" spans="1:5" ht="20.100000000000001" customHeight="1">
      <c r="A15" s="950"/>
      <c r="B15" s="948"/>
      <c r="C15" s="948"/>
      <c r="D15" s="952"/>
      <c r="E15" s="948"/>
    </row>
    <row r="16" spans="1:5" ht="20.100000000000001" customHeight="1">
      <c r="A16" s="950"/>
      <c r="B16" s="948"/>
      <c r="C16" s="948"/>
      <c r="D16" s="952"/>
      <c r="E16" s="948"/>
    </row>
    <row r="17" spans="1:6" ht="15" customHeight="1">
      <c r="A17" s="7"/>
      <c r="B17" s="2"/>
      <c r="C17" s="2"/>
      <c r="D17" s="2"/>
      <c r="E17" s="2"/>
    </row>
    <row r="18" spans="1:6" ht="15" customHeight="1">
      <c r="A18" s="443"/>
      <c r="B18" s="165"/>
      <c r="C18" s="165"/>
      <c r="D18" s="165"/>
      <c r="E18" s="165"/>
      <c r="F18" s="168"/>
    </row>
    <row r="19" spans="1:6" ht="19.5" customHeight="1">
      <c r="A19" s="443"/>
      <c r="B19" s="165"/>
      <c r="C19" s="165"/>
      <c r="D19" s="165"/>
      <c r="E19" s="165"/>
      <c r="F19" s="168"/>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topLeftCell="A38" zoomScale="70" zoomScaleNormal="70" zoomScalePageLayoutView="70" workbookViewId="0">
      <selection activeCell="D28" sqref="D28"/>
    </sheetView>
  </sheetViews>
  <sheetFormatPr defaultColWidth="8.85546875" defaultRowHeight="12.75"/>
  <cols>
    <col min="1" max="1" width="109" customWidth="1"/>
  </cols>
  <sheetData>
    <row r="1" spans="1:10" ht="22.35" customHeight="1">
      <c r="A1" s="541" t="s">
        <v>10</v>
      </c>
      <c r="B1" s="538"/>
      <c r="C1" s="538"/>
      <c r="D1" s="538"/>
      <c r="E1" s="538"/>
      <c r="F1" s="538"/>
      <c r="G1" s="538"/>
      <c r="H1" s="538"/>
      <c r="I1" s="538"/>
      <c r="J1" s="538"/>
    </row>
    <row r="2" spans="1:10" ht="22.35" customHeight="1">
      <c r="A2" s="541" t="s">
        <v>11</v>
      </c>
      <c r="B2" s="538"/>
      <c r="C2" s="538"/>
      <c r="D2" s="538"/>
      <c r="E2" s="538"/>
      <c r="F2" s="538"/>
      <c r="G2" s="538"/>
      <c r="H2" s="538"/>
      <c r="I2" s="538"/>
      <c r="J2" s="538"/>
    </row>
    <row r="3" spans="1:10" ht="22.35" customHeight="1">
      <c r="A3" s="541" t="s">
        <v>12</v>
      </c>
      <c r="B3" s="538"/>
      <c r="C3" s="538"/>
      <c r="D3" s="538"/>
      <c r="E3" s="538"/>
      <c r="F3" s="538"/>
      <c r="G3" s="538"/>
      <c r="H3" s="538"/>
      <c r="I3" s="538"/>
      <c r="J3" s="538"/>
    </row>
    <row r="4" spans="1:10" ht="26.45" customHeight="1">
      <c r="A4" s="542" t="s">
        <v>13</v>
      </c>
      <c r="B4" s="543"/>
      <c r="C4" s="543"/>
      <c r="D4" s="543"/>
      <c r="E4" s="543"/>
      <c r="F4" s="543"/>
      <c r="G4" s="543"/>
      <c r="H4" s="543"/>
      <c r="I4" s="543"/>
      <c r="J4" s="543"/>
    </row>
    <row r="11" spans="1:10" ht="34.5">
      <c r="E11" s="392"/>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5" zoomScale="60" zoomScaleNormal="60" zoomScalePageLayoutView="80" workbookViewId="0">
      <selection activeCell="D28" sqref="D28"/>
    </sheetView>
  </sheetViews>
  <sheetFormatPr defaultColWidth="8.85546875" defaultRowHeight="21"/>
  <cols>
    <col min="1" max="1" width="57.42578125" style="10" customWidth="1"/>
    <col min="2" max="2" width="32.140625" style="10" customWidth="1"/>
    <col min="3" max="3" width="24.7109375" style="10" customWidth="1"/>
    <col min="4" max="4" width="26" style="10" bestFit="1" customWidth="1"/>
    <col min="5" max="5" width="23.42578125" style="10" customWidth="1"/>
    <col min="6" max="6" width="21.85546875" style="10" customWidth="1"/>
    <col min="7" max="7" width="22.28515625" style="10" customWidth="1"/>
    <col min="8" max="8" width="26.85546875" style="10" customWidth="1"/>
    <col min="9" max="9" width="14.85546875" style="10" customWidth="1"/>
    <col min="10" max="10" width="20.28515625" style="10" customWidth="1"/>
    <col min="11" max="11" width="17.85546875" style="10" bestFit="1" customWidth="1"/>
    <col min="12" max="12" width="13.7109375" style="10" customWidth="1"/>
    <col min="13" max="13" width="13.42578125" style="10" bestFit="1" customWidth="1"/>
    <col min="14" max="14" width="12.140625" style="10" bestFit="1" customWidth="1"/>
    <col min="15" max="15" width="13.28515625" style="10" customWidth="1"/>
    <col min="16" max="16" width="13" style="10" customWidth="1"/>
    <col min="17" max="17" width="15" style="10" customWidth="1"/>
    <col min="18" max="18" width="13.42578125" style="10" customWidth="1"/>
    <col min="19" max="19" width="13.7109375" style="10" customWidth="1"/>
    <col min="20" max="20" width="21.42578125" style="10" customWidth="1"/>
    <col min="21" max="21" width="8.85546875" style="10"/>
    <col min="22" max="22" width="12.140625" style="10" bestFit="1" customWidth="1"/>
    <col min="23" max="23" width="13.85546875" style="10" customWidth="1"/>
    <col min="24" max="24" width="9.28515625" style="10" bestFit="1" customWidth="1"/>
    <col min="25" max="25" width="2.42578125" style="10" customWidth="1"/>
    <col min="26" max="26" width="14.85546875" style="10" customWidth="1"/>
    <col min="27" max="27" width="15.28515625" style="10" customWidth="1"/>
    <col min="28" max="28" width="15.140625" style="10" customWidth="1"/>
    <col min="29" max="29" width="6.28515625" style="10" customWidth="1"/>
    <col min="30" max="30" width="64.85546875" style="10" customWidth="1"/>
    <col min="31" max="31" width="13.42578125" style="10" customWidth="1"/>
    <col min="32" max="32" width="14.7109375" style="10" customWidth="1"/>
    <col min="33" max="33" width="18" style="10" customWidth="1"/>
    <col min="34" max="34" width="4.7109375" style="10" customWidth="1"/>
    <col min="35" max="35" width="21.42578125" style="10" customWidth="1"/>
    <col min="36" max="39" width="8.85546875" style="10"/>
    <col min="40" max="40" width="46.85546875" style="10" customWidth="1"/>
    <col min="41" max="41" width="19.140625" style="10" customWidth="1"/>
    <col min="42" max="42" width="2.7109375" style="10" customWidth="1"/>
    <col min="43" max="44" width="20.140625" style="10" customWidth="1"/>
    <col min="45" max="16384" width="8.85546875" style="10"/>
  </cols>
  <sheetData>
    <row r="1" spans="1:10" ht="25.35" customHeight="1">
      <c r="A1" s="833" t="s">
        <v>14</v>
      </c>
      <c r="B1" s="833"/>
      <c r="C1" s="833"/>
      <c r="D1" s="833"/>
      <c r="E1" s="9"/>
    </row>
    <row r="2" spans="1:10" ht="33.6" customHeight="1" thickBot="1">
      <c r="A2" s="1097" t="s">
        <v>15</v>
      </c>
      <c r="B2" s="1097"/>
      <c r="C2" s="1097"/>
      <c r="D2" s="1097"/>
    </row>
    <row r="3" spans="1:10" ht="25.35" customHeight="1" thickBot="1">
      <c r="A3" s="53"/>
      <c r="B3" s="54" t="s">
        <v>16</v>
      </c>
      <c r="C3" s="55"/>
      <c r="D3" s="63"/>
      <c r="E3" s="62"/>
    </row>
    <row r="4" spans="1:10" ht="25.35" customHeight="1" thickBot="1">
      <c r="A4" s="53">
        <v>1</v>
      </c>
      <c r="B4" s="44">
        <v>2</v>
      </c>
      <c r="C4" s="44">
        <v>3</v>
      </c>
      <c r="D4" s="44">
        <v>4</v>
      </c>
      <c r="E4" s="12"/>
    </row>
    <row r="5" spans="1:10" ht="44.1" customHeight="1" thickBot="1">
      <c r="A5" s="30" t="s">
        <v>17</v>
      </c>
      <c r="B5" s="869" t="s">
        <v>18</v>
      </c>
      <c r="C5" s="870"/>
      <c r="D5" s="871"/>
      <c r="E5" s="528" t="s">
        <v>8</v>
      </c>
      <c r="F5" s="12"/>
    </row>
    <row r="6" spans="1:10" ht="89.1" customHeight="1" thickBot="1">
      <c r="A6" s="267" t="s">
        <v>19</v>
      </c>
      <c r="B6" s="52" t="s">
        <v>20</v>
      </c>
      <c r="C6" s="16" t="s">
        <v>21</v>
      </c>
      <c r="D6" s="1098" t="s">
        <v>22</v>
      </c>
      <c r="F6" s="12"/>
    </row>
    <row r="7" spans="1:10" ht="25.35" customHeight="1">
      <c r="A7" s="368" t="s">
        <v>23</v>
      </c>
      <c r="B7" s="1099">
        <v>46135825</v>
      </c>
      <c r="C7" s="926">
        <v>8965209</v>
      </c>
      <c r="D7" s="69">
        <f t="shared" ref="D7:D34" si="0">SUM(B7:C7)</f>
        <v>55101034</v>
      </c>
      <c r="E7" s="389"/>
      <c r="F7" s="390"/>
      <c r="G7" s="40"/>
      <c r="I7" s="40"/>
      <c r="J7" s="40"/>
    </row>
    <row r="8" spans="1:10" ht="25.35" customHeight="1">
      <c r="A8" s="348" t="s">
        <v>24</v>
      </c>
      <c r="B8" s="1100">
        <v>98690418</v>
      </c>
      <c r="C8" s="926">
        <v>17967796</v>
      </c>
      <c r="D8" s="64">
        <f t="shared" si="0"/>
        <v>116658214</v>
      </c>
      <c r="E8" s="369"/>
      <c r="F8" s="40"/>
      <c r="G8" s="40"/>
      <c r="I8" s="40"/>
      <c r="J8" s="40"/>
    </row>
    <row r="9" spans="1:10" ht="25.35" customHeight="1">
      <c r="A9" s="348" t="s">
        <v>25</v>
      </c>
      <c r="B9" s="757">
        <v>36635655</v>
      </c>
      <c r="C9" s="926">
        <v>5132576</v>
      </c>
      <c r="D9" s="64">
        <f t="shared" si="0"/>
        <v>41768231</v>
      </c>
      <c r="E9" s="369"/>
      <c r="F9" s="40"/>
      <c r="G9" s="40"/>
      <c r="I9" s="40"/>
      <c r="J9" s="40"/>
    </row>
    <row r="10" spans="1:10" ht="25.35" customHeight="1">
      <c r="A10" s="348" t="s">
        <v>26</v>
      </c>
      <c r="B10" s="757">
        <v>13538708</v>
      </c>
      <c r="C10" s="926">
        <v>2823123</v>
      </c>
      <c r="D10" s="64">
        <f t="shared" si="0"/>
        <v>16361831</v>
      </c>
      <c r="E10" s="369"/>
      <c r="F10" s="40"/>
      <c r="G10" s="40"/>
      <c r="I10" s="40"/>
      <c r="J10" s="40"/>
    </row>
    <row r="11" spans="1:10" ht="25.35" customHeight="1">
      <c r="A11" s="348" t="s">
        <v>27</v>
      </c>
      <c r="B11" s="757">
        <v>51701935</v>
      </c>
      <c r="C11" s="926">
        <v>10787451</v>
      </c>
      <c r="D11" s="64">
        <f t="shared" si="0"/>
        <v>62489386</v>
      </c>
      <c r="E11" s="369"/>
      <c r="F11" s="40"/>
      <c r="G11" s="40"/>
      <c r="I11" s="40"/>
      <c r="J11" s="40"/>
    </row>
    <row r="12" spans="1:10" ht="25.35" customHeight="1">
      <c r="A12" s="348" t="s">
        <v>28</v>
      </c>
      <c r="B12" s="757">
        <v>46933805</v>
      </c>
      <c r="C12" s="926">
        <v>6873089</v>
      </c>
      <c r="D12" s="64">
        <f t="shared" si="0"/>
        <v>53806894</v>
      </c>
      <c r="E12" s="369"/>
      <c r="F12" s="40"/>
      <c r="G12" s="40"/>
      <c r="I12" s="40"/>
      <c r="J12" s="40"/>
    </row>
    <row r="13" spans="1:10" ht="25.35" customHeight="1">
      <c r="A13" s="348" t="s">
        <v>29</v>
      </c>
      <c r="B13" s="757">
        <v>76188848</v>
      </c>
      <c r="C13" s="926">
        <v>16150515</v>
      </c>
      <c r="D13" s="64">
        <f t="shared" si="0"/>
        <v>92339363</v>
      </c>
      <c r="E13" s="369"/>
      <c r="F13" s="40"/>
      <c r="G13" s="40"/>
      <c r="I13" s="40"/>
      <c r="J13" s="40"/>
    </row>
    <row r="14" spans="1:10" ht="25.35" customHeight="1">
      <c r="A14" s="348" t="s">
        <v>30</v>
      </c>
      <c r="B14" s="757">
        <v>10190230</v>
      </c>
      <c r="C14" s="926">
        <v>1455245</v>
      </c>
      <c r="D14" s="64">
        <f t="shared" si="0"/>
        <v>11645475</v>
      </c>
      <c r="E14" s="369"/>
      <c r="F14" s="40"/>
      <c r="G14" s="40"/>
      <c r="I14" s="40"/>
      <c r="J14" s="40"/>
    </row>
    <row r="15" spans="1:10" ht="25.35" customHeight="1">
      <c r="A15" s="348" t="s">
        <v>31</v>
      </c>
      <c r="B15" s="757">
        <v>23425463</v>
      </c>
      <c r="C15" s="926">
        <v>4601687</v>
      </c>
      <c r="D15" s="64">
        <f t="shared" si="0"/>
        <v>28027150</v>
      </c>
      <c r="E15" s="369"/>
      <c r="F15" s="40"/>
      <c r="G15" s="40"/>
      <c r="I15" s="40"/>
      <c r="J15" s="40"/>
    </row>
    <row r="16" spans="1:10" ht="25.35" customHeight="1">
      <c r="A16" s="348" t="s">
        <v>32</v>
      </c>
      <c r="B16" s="757">
        <v>78745180</v>
      </c>
      <c r="C16" s="926">
        <v>12203027</v>
      </c>
      <c r="D16" s="64">
        <f t="shared" si="0"/>
        <v>90948207</v>
      </c>
      <c r="E16" s="369"/>
      <c r="F16" s="40"/>
      <c r="G16" s="40"/>
      <c r="I16" s="40"/>
      <c r="J16" s="40"/>
    </row>
    <row r="17" spans="1:10" ht="25.35" customHeight="1">
      <c r="A17" s="348" t="s">
        <v>33</v>
      </c>
      <c r="B17" s="757">
        <v>52058669</v>
      </c>
      <c r="C17" s="926">
        <v>9889375</v>
      </c>
      <c r="D17" s="64">
        <f t="shared" si="0"/>
        <v>61948044</v>
      </c>
      <c r="E17" s="369"/>
      <c r="F17" s="40"/>
      <c r="G17" s="40"/>
      <c r="I17" s="40"/>
      <c r="J17" s="40"/>
    </row>
    <row r="18" spans="1:10" ht="25.35" customHeight="1">
      <c r="A18" s="348" t="s">
        <v>34</v>
      </c>
      <c r="B18" s="757">
        <v>17400443</v>
      </c>
      <c r="C18" s="926">
        <v>2879216</v>
      </c>
      <c r="D18" s="64">
        <f t="shared" si="0"/>
        <v>20279659</v>
      </c>
      <c r="E18" s="369"/>
      <c r="F18" s="40"/>
      <c r="G18" s="40"/>
      <c r="I18" s="40"/>
      <c r="J18" s="40"/>
    </row>
    <row r="19" spans="1:10" ht="25.35" customHeight="1">
      <c r="A19" s="348" t="s">
        <v>35</v>
      </c>
      <c r="B19" s="757">
        <v>22308723</v>
      </c>
      <c r="C19" s="926">
        <v>2829107</v>
      </c>
      <c r="D19" s="64">
        <f t="shared" si="0"/>
        <v>25137830</v>
      </c>
      <c r="E19" s="369"/>
      <c r="F19" s="40"/>
      <c r="G19" s="40"/>
      <c r="I19" s="40"/>
      <c r="J19" s="40"/>
    </row>
    <row r="20" spans="1:10" ht="25.35" customHeight="1">
      <c r="A20" s="348" t="s">
        <v>36</v>
      </c>
      <c r="B20" s="757">
        <v>31804903</v>
      </c>
      <c r="C20" s="926">
        <v>4767012</v>
      </c>
      <c r="D20" s="64">
        <f t="shared" si="0"/>
        <v>36571915</v>
      </c>
      <c r="E20" s="369"/>
      <c r="F20" s="40"/>
      <c r="G20" s="40"/>
      <c r="H20" s="40"/>
      <c r="I20" s="40"/>
      <c r="J20" s="40"/>
    </row>
    <row r="21" spans="1:10" ht="25.35" customHeight="1">
      <c r="A21" s="348" t="s">
        <v>37</v>
      </c>
      <c r="B21" s="757">
        <v>202832113</v>
      </c>
      <c r="C21" s="926">
        <v>36438801</v>
      </c>
      <c r="D21" s="64">
        <f t="shared" si="0"/>
        <v>239270914</v>
      </c>
      <c r="E21" s="369"/>
      <c r="F21" s="40"/>
      <c r="G21" s="40"/>
      <c r="I21" s="40"/>
      <c r="J21" s="40"/>
    </row>
    <row r="22" spans="1:10" ht="25.35" customHeight="1">
      <c r="A22" s="348" t="s">
        <v>38</v>
      </c>
      <c r="B22" s="757">
        <v>10454571</v>
      </c>
      <c r="C22" s="926">
        <v>1533902</v>
      </c>
      <c r="D22" s="64">
        <f t="shared" si="0"/>
        <v>11988473</v>
      </c>
      <c r="E22" s="369"/>
      <c r="F22" s="40"/>
      <c r="G22" s="40"/>
      <c r="I22" s="40"/>
      <c r="J22" s="40"/>
    </row>
    <row r="23" spans="1:10" ht="25.35" customHeight="1">
      <c r="A23" s="348" t="s">
        <v>39</v>
      </c>
      <c r="B23" s="757">
        <v>26088800</v>
      </c>
      <c r="C23" s="926">
        <v>4053149</v>
      </c>
      <c r="D23" s="64">
        <f t="shared" si="0"/>
        <v>30141949</v>
      </c>
      <c r="E23" s="369"/>
      <c r="F23" s="40"/>
      <c r="G23" s="40"/>
      <c r="I23" s="40"/>
      <c r="J23" s="40"/>
    </row>
    <row r="24" spans="1:10" ht="25.35" customHeight="1">
      <c r="A24" s="348" t="s">
        <v>40</v>
      </c>
      <c r="B24" s="757">
        <v>72521516</v>
      </c>
      <c r="C24" s="926">
        <v>12221593</v>
      </c>
      <c r="D24" s="64">
        <f t="shared" si="0"/>
        <v>84743109</v>
      </c>
      <c r="E24" s="369"/>
      <c r="F24" s="40"/>
      <c r="G24" s="40"/>
      <c r="I24" s="40"/>
      <c r="J24" s="40"/>
    </row>
    <row r="25" spans="1:10" ht="25.35" customHeight="1">
      <c r="A25" s="348" t="s">
        <v>41</v>
      </c>
      <c r="B25" s="757">
        <v>45643999</v>
      </c>
      <c r="C25" s="926">
        <v>5900984</v>
      </c>
      <c r="D25" s="64">
        <f t="shared" si="0"/>
        <v>51544983</v>
      </c>
      <c r="E25" s="369"/>
      <c r="F25" s="40"/>
      <c r="G25" s="40"/>
      <c r="I25" s="40"/>
      <c r="J25" s="40"/>
    </row>
    <row r="26" spans="1:10" ht="25.35" customHeight="1">
      <c r="A26" s="348" t="s">
        <v>42</v>
      </c>
      <c r="B26" s="757">
        <v>56025336</v>
      </c>
      <c r="C26" s="926">
        <v>7318283</v>
      </c>
      <c r="D26" s="64">
        <f t="shared" si="0"/>
        <v>63343619</v>
      </c>
      <c r="E26" s="369"/>
      <c r="F26" s="40"/>
      <c r="G26" s="40"/>
      <c r="I26" s="40"/>
      <c r="J26" s="40"/>
    </row>
    <row r="27" spans="1:10" ht="25.35" customHeight="1">
      <c r="A27" s="348" t="s">
        <v>43</v>
      </c>
      <c r="B27" s="757">
        <v>45068196</v>
      </c>
      <c r="C27" s="926">
        <v>5998631</v>
      </c>
      <c r="D27" s="64">
        <f t="shared" si="0"/>
        <v>51066827</v>
      </c>
      <c r="E27" s="369"/>
      <c r="F27" s="40"/>
      <c r="G27" s="40"/>
      <c r="I27" s="40"/>
      <c r="J27" s="40"/>
    </row>
    <row r="28" spans="1:10" ht="25.35" customHeight="1">
      <c r="A28" s="348" t="s">
        <v>44</v>
      </c>
      <c r="B28" s="757">
        <v>32205772</v>
      </c>
      <c r="C28" s="926">
        <v>4092028</v>
      </c>
      <c r="D28" s="64">
        <f t="shared" si="0"/>
        <v>36297800</v>
      </c>
      <c r="E28" s="369"/>
      <c r="F28" s="40"/>
      <c r="G28" s="40"/>
      <c r="I28" s="40"/>
      <c r="J28" s="40"/>
    </row>
    <row r="29" spans="1:10" ht="25.35" customHeight="1">
      <c r="A29" s="348" t="s">
        <v>45</v>
      </c>
      <c r="B29" s="757">
        <v>81244931</v>
      </c>
      <c r="C29" s="926">
        <v>14666330</v>
      </c>
      <c r="D29" s="64">
        <f t="shared" si="0"/>
        <v>95911261</v>
      </c>
      <c r="E29" s="369"/>
      <c r="F29" s="40"/>
      <c r="G29" s="40"/>
      <c r="I29" s="40"/>
      <c r="J29" s="40"/>
    </row>
    <row r="30" spans="1:10" ht="25.35" customHeight="1">
      <c r="A30" s="348" t="s">
        <v>46</v>
      </c>
      <c r="B30" s="757">
        <v>48685389</v>
      </c>
      <c r="C30" s="926">
        <v>7445833</v>
      </c>
      <c r="D30" s="64">
        <f t="shared" si="0"/>
        <v>56131222</v>
      </c>
      <c r="E30" s="369"/>
      <c r="F30" s="40"/>
      <c r="G30" s="40"/>
      <c r="I30" s="40"/>
      <c r="J30" s="40"/>
    </row>
    <row r="31" spans="1:10" ht="25.35" customHeight="1">
      <c r="A31" s="348" t="s">
        <v>47</v>
      </c>
      <c r="B31" s="757">
        <v>50687169</v>
      </c>
      <c r="C31" s="926">
        <v>8021591</v>
      </c>
      <c r="D31" s="64">
        <f t="shared" si="0"/>
        <v>58708760</v>
      </c>
      <c r="E31" s="369"/>
      <c r="F31" s="40"/>
      <c r="G31" s="40"/>
      <c r="I31" s="40"/>
      <c r="J31" s="40"/>
    </row>
    <row r="32" spans="1:10" ht="25.35" customHeight="1">
      <c r="A32" s="348" t="s">
        <v>48</v>
      </c>
      <c r="B32" s="757">
        <v>23017517</v>
      </c>
      <c r="C32" s="926">
        <v>3443580</v>
      </c>
      <c r="D32" s="64">
        <f t="shared" si="0"/>
        <v>26461097</v>
      </c>
      <c r="E32" s="369"/>
      <c r="F32" s="40"/>
      <c r="G32" s="40"/>
      <c r="I32" s="40" t="s">
        <v>49</v>
      </c>
      <c r="J32" s="40"/>
    </row>
    <row r="33" spans="1:12" ht="25.35" customHeight="1">
      <c r="A33" s="348" t="s">
        <v>50</v>
      </c>
      <c r="B33" s="757">
        <v>39674794</v>
      </c>
      <c r="C33" s="926">
        <v>6698176</v>
      </c>
      <c r="D33" s="64">
        <f t="shared" si="0"/>
        <v>46372970</v>
      </c>
      <c r="E33" s="369"/>
      <c r="F33" s="40"/>
      <c r="G33" s="40"/>
      <c r="I33" s="369"/>
      <c r="J33" s="40"/>
      <c r="K33" s="369"/>
    </row>
    <row r="34" spans="1:12" ht="25.35" customHeight="1" thickBot="1">
      <c r="A34" s="349" t="s">
        <v>51</v>
      </c>
      <c r="B34" s="757">
        <v>130572783</v>
      </c>
      <c r="C34" s="926">
        <v>14571108</v>
      </c>
      <c r="D34" s="65">
        <f t="shared" si="0"/>
        <v>145143891</v>
      </c>
      <c r="E34" s="369"/>
      <c r="F34" s="40"/>
      <c r="G34" s="40"/>
      <c r="I34" s="369"/>
      <c r="J34" s="40"/>
      <c r="K34" s="369"/>
    </row>
    <row r="35" spans="1:12" ht="25.35" customHeight="1" thickBot="1">
      <c r="A35" s="350" t="s">
        <v>52</v>
      </c>
      <c r="B35" s="386">
        <f>SUM(B7:B34)</f>
        <v>1470481691</v>
      </c>
      <c r="C35" s="386">
        <f>SUM(C7:C34)</f>
        <v>239728417</v>
      </c>
      <c r="D35" s="362">
        <f>SUM(D7:D34)</f>
        <v>1710210108</v>
      </c>
      <c r="E35" s="387"/>
      <c r="F35" s="40"/>
      <c r="G35" s="40"/>
      <c r="H35" s="40"/>
      <c r="I35" s="369"/>
      <c r="J35" s="40"/>
      <c r="K35" s="369"/>
      <c r="L35" s="370"/>
    </row>
    <row r="36" spans="1:12" ht="19.350000000000001" customHeight="1">
      <c r="A36" s="977" t="s">
        <v>53</v>
      </c>
      <c r="B36" s="872"/>
      <c r="C36" s="872"/>
      <c r="D36" s="872"/>
      <c r="E36" s="427"/>
      <c r="K36" s="369"/>
    </row>
    <row r="37" spans="1:12" ht="27.75" customHeight="1">
      <c r="A37" s="976" t="s">
        <v>54</v>
      </c>
      <c r="B37" s="682"/>
      <c r="C37" s="682"/>
      <c r="D37" s="682"/>
      <c r="E37" s="426"/>
      <c r="K37" s="369"/>
    </row>
    <row r="38" spans="1:12" s="974" customFormat="1" ht="29.25" customHeight="1">
      <c r="A38" s="978" t="s">
        <v>55</v>
      </c>
      <c r="B38" s="873"/>
      <c r="C38" s="873"/>
      <c r="D38" s="873"/>
      <c r="E38" s="973"/>
      <c r="K38" s="975"/>
    </row>
    <row r="39" spans="1:12" ht="36.6" hidden="1" customHeight="1" thickBot="1">
      <c r="A39" s="423" t="s">
        <v>15</v>
      </c>
      <c r="B39" s="424"/>
      <c r="C39" s="424"/>
      <c r="K39" s="152"/>
    </row>
    <row r="40" spans="1:12" ht="24" hidden="1" customHeight="1" thickBot="1">
      <c r="A40" s="36" t="s">
        <v>56</v>
      </c>
      <c r="B40" s="979" t="s">
        <v>57</v>
      </c>
      <c r="C40" s="980"/>
      <c r="D40" s="754"/>
      <c r="E40" s="755"/>
      <c r="F40" s="10" t="s">
        <v>8</v>
      </c>
      <c r="K40" s="152"/>
    </row>
    <row r="41" spans="1:12" ht="22.35" hidden="1" customHeight="1" thickBot="1">
      <c r="A41" s="37">
        <v>1</v>
      </c>
      <c r="B41" s="44">
        <v>2</v>
      </c>
      <c r="C41" s="44">
        <v>3</v>
      </c>
      <c r="D41" s="44">
        <v>4</v>
      </c>
      <c r="E41" s="44">
        <v>5</v>
      </c>
    </row>
    <row r="42" spans="1:12" ht="24.6" hidden="1" customHeight="1" thickBot="1">
      <c r="A42" s="32" t="s">
        <v>19</v>
      </c>
      <c r="B42" s="41" t="s">
        <v>58</v>
      </c>
      <c r="C42" s="42" t="s">
        <v>59</v>
      </c>
      <c r="D42" s="43" t="s">
        <v>60</v>
      </c>
      <c r="E42" s="351" t="s">
        <v>61</v>
      </c>
    </row>
    <row r="43" spans="1:12" ht="126" hidden="1">
      <c r="A43" s="759" t="str">
        <f>A10</f>
        <v>Chipola College</v>
      </c>
      <c r="B43" s="1101" t="s">
        <v>62</v>
      </c>
      <c r="C43" s="831"/>
      <c r="D43" s="831"/>
      <c r="E43" s="916">
        <f t="shared" ref="E43:E60" si="1">C43+D43</f>
        <v>0</v>
      </c>
    </row>
    <row r="44" spans="1:12" ht="63" hidden="1">
      <c r="A44" s="1102" t="s">
        <v>25</v>
      </c>
      <c r="B44" s="830" t="s">
        <v>63</v>
      </c>
      <c r="C44" s="831"/>
      <c r="D44" s="831"/>
      <c r="E44" s="916">
        <f t="shared" si="1"/>
        <v>0</v>
      </c>
    </row>
    <row r="45" spans="1:12" ht="47.25" hidden="1" customHeight="1">
      <c r="A45" s="758" t="s">
        <v>27</v>
      </c>
      <c r="B45" s="830" t="s">
        <v>64</v>
      </c>
      <c r="C45" s="831"/>
      <c r="D45" s="831"/>
      <c r="E45" s="916">
        <f t="shared" si="1"/>
        <v>0</v>
      </c>
    </row>
    <row r="46" spans="1:12" ht="84.75" hidden="1" customHeight="1">
      <c r="A46" s="758" t="s">
        <v>27</v>
      </c>
      <c r="B46" s="830" t="s">
        <v>65</v>
      </c>
      <c r="C46" s="831"/>
      <c r="D46" s="831"/>
      <c r="E46" s="916">
        <f t="shared" si="1"/>
        <v>0</v>
      </c>
    </row>
    <row r="47" spans="1:12" ht="84.75" hidden="1" customHeight="1">
      <c r="A47" s="758" t="s">
        <v>66</v>
      </c>
      <c r="B47" s="830" t="s">
        <v>67</v>
      </c>
      <c r="C47" s="831"/>
      <c r="D47" s="831"/>
      <c r="E47" s="916">
        <f t="shared" si="1"/>
        <v>0</v>
      </c>
      <c r="G47" s="144" t="s">
        <v>8</v>
      </c>
    </row>
    <row r="48" spans="1:12" ht="66" hidden="1" customHeight="1">
      <c r="A48" s="758" t="s">
        <v>32</v>
      </c>
      <c r="B48" s="830" t="s">
        <v>68</v>
      </c>
      <c r="C48" s="831"/>
      <c r="D48" s="831"/>
      <c r="E48" s="916">
        <f t="shared" si="1"/>
        <v>0</v>
      </c>
      <c r="G48" s="144"/>
    </row>
    <row r="49" spans="1:5" ht="62.45" hidden="1" customHeight="1">
      <c r="A49" s="758" t="s">
        <v>32</v>
      </c>
      <c r="B49" s="830" t="s">
        <v>69</v>
      </c>
      <c r="C49" s="831"/>
      <c r="D49" s="831"/>
      <c r="E49" s="916">
        <f t="shared" si="1"/>
        <v>0</v>
      </c>
    </row>
    <row r="50" spans="1:5" ht="43.5" hidden="1" customHeight="1">
      <c r="A50" s="758" t="s">
        <v>37</v>
      </c>
      <c r="B50" s="830" t="s">
        <v>70</v>
      </c>
      <c r="C50" s="831"/>
      <c r="D50" s="831"/>
      <c r="E50" s="916">
        <f t="shared" si="1"/>
        <v>0</v>
      </c>
    </row>
    <row r="51" spans="1:5" ht="62.45" hidden="1" customHeight="1">
      <c r="A51" s="925" t="s">
        <v>39</v>
      </c>
      <c r="B51" s="830" t="s">
        <v>71</v>
      </c>
      <c r="C51" s="831"/>
      <c r="D51" s="831"/>
      <c r="E51" s="916">
        <f t="shared" si="1"/>
        <v>0</v>
      </c>
    </row>
    <row r="52" spans="1:5" ht="62.45" hidden="1" customHeight="1" thickBot="1">
      <c r="A52" s="1103" t="s">
        <v>72</v>
      </c>
      <c r="B52" s="981" t="s">
        <v>73</v>
      </c>
      <c r="C52" s="982"/>
      <c r="D52" s="982"/>
      <c r="E52" s="983">
        <f t="shared" si="1"/>
        <v>0</v>
      </c>
    </row>
    <row r="53" spans="1:5" ht="62.45" hidden="1" customHeight="1" thickBot="1">
      <c r="A53" s="1103" t="s">
        <v>41</v>
      </c>
      <c r="B53" s="981" t="s">
        <v>74</v>
      </c>
      <c r="C53" s="982"/>
      <c r="D53" s="982"/>
      <c r="E53" s="983">
        <f t="shared" si="1"/>
        <v>0</v>
      </c>
    </row>
    <row r="54" spans="1:5" ht="62.45" hidden="1" customHeight="1" thickBot="1">
      <c r="A54" s="1103" t="s">
        <v>41</v>
      </c>
      <c r="B54" s="981" t="s">
        <v>75</v>
      </c>
      <c r="C54" s="982"/>
      <c r="D54" s="982"/>
      <c r="E54" s="983">
        <f t="shared" si="1"/>
        <v>0</v>
      </c>
    </row>
    <row r="55" spans="1:5" ht="62.45" hidden="1" customHeight="1" thickBot="1">
      <c r="A55" s="1103" t="s">
        <v>42</v>
      </c>
      <c r="B55" s="981" t="s">
        <v>76</v>
      </c>
      <c r="C55" s="982"/>
      <c r="D55" s="982"/>
      <c r="E55" s="983">
        <f t="shared" si="1"/>
        <v>0</v>
      </c>
    </row>
    <row r="56" spans="1:5" ht="62.45" hidden="1" customHeight="1" thickBot="1">
      <c r="A56" s="1103" t="s">
        <v>47</v>
      </c>
      <c r="B56" s="986" t="s">
        <v>77</v>
      </c>
      <c r="C56" s="982"/>
      <c r="D56" s="982"/>
      <c r="E56" s="983">
        <f t="shared" si="1"/>
        <v>0</v>
      </c>
    </row>
    <row r="57" spans="1:5" ht="62.45" hidden="1" customHeight="1" thickBot="1">
      <c r="A57" s="1103" t="s">
        <v>48</v>
      </c>
      <c r="B57" s="984" t="s">
        <v>78</v>
      </c>
      <c r="C57" s="982"/>
      <c r="D57" s="982"/>
      <c r="E57" s="983">
        <f t="shared" si="1"/>
        <v>0</v>
      </c>
    </row>
    <row r="58" spans="1:5" ht="62.45" hidden="1" customHeight="1" thickBot="1">
      <c r="A58" s="1103" t="s">
        <v>48</v>
      </c>
      <c r="B58" s="985" t="s">
        <v>79</v>
      </c>
      <c r="C58" s="982"/>
      <c r="D58" s="982"/>
      <c r="E58" s="983">
        <f t="shared" si="1"/>
        <v>0</v>
      </c>
    </row>
    <row r="59" spans="1:5" ht="62.45" hidden="1" customHeight="1" thickBot="1">
      <c r="A59" s="1103" t="s">
        <v>45</v>
      </c>
      <c r="B59" s="985" t="s">
        <v>80</v>
      </c>
      <c r="C59" s="982"/>
      <c r="D59" s="982"/>
      <c r="E59" s="983">
        <f t="shared" si="1"/>
        <v>0</v>
      </c>
    </row>
    <row r="60" spans="1:5" ht="62.45" hidden="1" customHeight="1" thickBot="1">
      <c r="A60" s="1103" t="s">
        <v>45</v>
      </c>
      <c r="B60" s="985" t="s">
        <v>81</v>
      </c>
      <c r="C60" s="982"/>
      <c r="D60" s="982"/>
      <c r="E60" s="983">
        <f t="shared" si="1"/>
        <v>0</v>
      </c>
    </row>
    <row r="61" spans="1:5" ht="24.6" hidden="1" customHeight="1" thickBot="1">
      <c r="A61" s="987" t="s">
        <v>61</v>
      </c>
      <c r="B61" s="988"/>
      <c r="C61" s="989">
        <f>SUM(C43:C60)</f>
        <v>0</v>
      </c>
      <c r="D61" s="989">
        <f>SUM(D43:D60)</f>
        <v>0</v>
      </c>
      <c r="E61" s="990">
        <f>SUM(E43:E60)</f>
        <v>0</v>
      </c>
    </row>
    <row r="62" spans="1:5" ht="25.35" hidden="1" customHeight="1">
      <c r="A62" s="10" t="s">
        <v>82</v>
      </c>
    </row>
    <row r="63" spans="1:5" ht="25.35" customHeight="1">
      <c r="D63" s="40"/>
    </row>
    <row r="64" spans="1:5" ht="30.6" hidden="1" customHeight="1" thickBot="1">
      <c r="A64" s="423" t="s">
        <v>15</v>
      </c>
      <c r="B64" s="424"/>
      <c r="C64" s="424"/>
    </row>
    <row r="65" spans="1:7" ht="41.1" hidden="1" customHeight="1" thickBot="1">
      <c r="A65" s="37" t="s">
        <v>83</v>
      </c>
      <c r="B65" s="352" t="s">
        <v>84</v>
      </c>
      <c r="C65" s="9" t="s">
        <v>8</v>
      </c>
      <c r="D65" s="9"/>
    </row>
    <row r="66" spans="1:7" ht="69" hidden="1" customHeight="1" thickBot="1">
      <c r="A66" s="844" t="s">
        <v>85</v>
      </c>
      <c r="B66" s="845"/>
      <c r="C66" s="131"/>
    </row>
    <row r="67" spans="1:7" ht="37.35" hidden="1" customHeight="1" thickBot="1">
      <c r="A67" s="320" t="s">
        <v>19</v>
      </c>
      <c r="B67" s="409" t="s">
        <v>52</v>
      </c>
      <c r="D67" s="15"/>
    </row>
    <row r="68" spans="1:7" ht="25.35" hidden="1" customHeight="1" thickBot="1">
      <c r="A68" s="1104" t="str">
        <f>A33</f>
        <v>Tallahassee State College</v>
      </c>
      <c r="B68" s="991">
        <v>0</v>
      </c>
      <c r="C68" s="144"/>
    </row>
    <row r="69" spans="1:7" ht="25.35" hidden="1" customHeight="1" thickBot="1">
      <c r="A69" s="987" t="s">
        <v>52</v>
      </c>
      <c r="B69" s="992">
        <f>SUM(B68:B68)</f>
        <v>0</v>
      </c>
      <c r="C69" s="353"/>
    </row>
    <row r="70" spans="1:7" ht="24.6" customHeight="1">
      <c r="A70" s="429"/>
      <c r="B70" s="428"/>
      <c r="C70" s="428"/>
    </row>
    <row r="71" spans="1:7" ht="32.1" customHeight="1" thickBot="1">
      <c r="A71" s="423" t="s">
        <v>86</v>
      </c>
      <c r="B71" s="424"/>
      <c r="C71" s="424"/>
    </row>
    <row r="72" spans="1:7" ht="44.45" customHeight="1" thickBot="1">
      <c r="A72" s="30" t="s">
        <v>87</v>
      </c>
      <c r="B72" s="846" t="s">
        <v>88</v>
      </c>
      <c r="C72" s="847"/>
      <c r="D72" s="847"/>
      <c r="E72" s="848"/>
      <c r="F72" s="11"/>
      <c r="G72" s="9"/>
    </row>
    <row r="73" spans="1:7" ht="87.6" customHeight="1" thickBot="1">
      <c r="A73" s="32" t="s">
        <v>19</v>
      </c>
      <c r="B73" s="993" t="s">
        <v>89</v>
      </c>
      <c r="C73" s="31" t="s">
        <v>90</v>
      </c>
      <c r="D73" s="17" t="s">
        <v>91</v>
      </c>
      <c r="E73" s="18" t="s">
        <v>92</v>
      </c>
      <c r="F73" s="993" t="s">
        <v>93</v>
      </c>
    </row>
    <row r="74" spans="1:7" ht="25.35" customHeight="1">
      <c r="A74" s="1105" t="str">
        <f t="shared" ref="A74:A101" si="2">A7</f>
        <v>Eastern Florida State College</v>
      </c>
      <c r="B74" s="371">
        <v>25165552.721059371</v>
      </c>
      <c r="C74" s="371">
        <f t="shared" ref="C74:C101" si="3">B74*0.05</f>
        <v>1258277.6360529687</v>
      </c>
      <c r="D74" s="878">
        <f t="shared" ref="D74:D101" si="4">IF(C74&gt;500000,0,1)</f>
        <v>0</v>
      </c>
      <c r="E74" s="372">
        <f t="shared" ref="E74:E101" si="5">IF(D74&lt;1,0,B74*0.02)</f>
        <v>0</v>
      </c>
      <c r="F74" s="371">
        <f>C74+E74</f>
        <v>1258277.6360529687</v>
      </c>
    </row>
    <row r="75" spans="1:7" ht="25.35" customHeight="1">
      <c r="A75" s="546" t="str">
        <f t="shared" si="2"/>
        <v>Broward College</v>
      </c>
      <c r="B75" s="13">
        <v>64528561.709258325</v>
      </c>
      <c r="C75" s="13">
        <f t="shared" si="3"/>
        <v>3226428.0854629166</v>
      </c>
      <c r="D75" s="13">
        <f t="shared" si="4"/>
        <v>0</v>
      </c>
      <c r="E75" s="13">
        <f t="shared" si="5"/>
        <v>0</v>
      </c>
      <c r="F75" s="13">
        <f t="shared" ref="F75:F101" si="6">C75+E75</f>
        <v>3226428.0854629166</v>
      </c>
    </row>
    <row r="76" spans="1:7" ht="25.35" customHeight="1">
      <c r="A76" s="546" t="str">
        <f t="shared" si="2"/>
        <v>College of Central Florida</v>
      </c>
      <c r="B76" s="13">
        <v>12440133.06095282</v>
      </c>
      <c r="C76" s="13">
        <f t="shared" si="3"/>
        <v>622006.65304764104</v>
      </c>
      <c r="D76" s="13">
        <f t="shared" si="4"/>
        <v>0</v>
      </c>
      <c r="E76" s="13">
        <f t="shared" si="5"/>
        <v>0</v>
      </c>
      <c r="F76" s="13">
        <f t="shared" si="6"/>
        <v>622006.65304764104</v>
      </c>
    </row>
    <row r="77" spans="1:7" ht="25.35" customHeight="1">
      <c r="A77" s="547" t="str">
        <f t="shared" si="2"/>
        <v>Chipola College</v>
      </c>
      <c r="B77" s="339">
        <v>2814641.3108255938</v>
      </c>
      <c r="C77" s="339">
        <f t="shared" si="3"/>
        <v>140732.06554127971</v>
      </c>
      <c r="D77" s="339">
        <f t="shared" si="4"/>
        <v>1</v>
      </c>
      <c r="E77" s="339">
        <f t="shared" si="5"/>
        <v>56292.826216511879</v>
      </c>
      <c r="F77" s="339">
        <f t="shared" si="6"/>
        <v>197024.89175779157</v>
      </c>
    </row>
    <row r="78" spans="1:7" ht="25.35" customHeight="1">
      <c r="A78" s="546" t="str">
        <f t="shared" si="2"/>
        <v>Daytona State College</v>
      </c>
      <c r="B78" s="13">
        <v>25101501.48281439</v>
      </c>
      <c r="C78" s="13">
        <f t="shared" si="3"/>
        <v>1255075.0741407196</v>
      </c>
      <c r="D78" s="13">
        <f t="shared" si="4"/>
        <v>0</v>
      </c>
      <c r="E78" s="13">
        <f t="shared" si="5"/>
        <v>0</v>
      </c>
      <c r="F78" s="13">
        <f t="shared" si="6"/>
        <v>1255075.0741407196</v>
      </c>
    </row>
    <row r="79" spans="1:7" ht="25.35" customHeight="1">
      <c r="A79" s="546" t="str">
        <f t="shared" si="2"/>
        <v>Florida SouthWestern State College</v>
      </c>
      <c r="B79" s="13">
        <v>25225252.802425653</v>
      </c>
      <c r="C79" s="13">
        <f t="shared" si="3"/>
        <v>1261262.6401212828</v>
      </c>
      <c r="D79" s="13">
        <f t="shared" si="4"/>
        <v>0</v>
      </c>
      <c r="E79" s="13">
        <f t="shared" si="5"/>
        <v>0</v>
      </c>
      <c r="F79" s="13">
        <f t="shared" si="6"/>
        <v>1261262.6401212828</v>
      </c>
    </row>
    <row r="80" spans="1:7" ht="25.35" customHeight="1">
      <c r="A80" s="546" t="str">
        <f t="shared" si="2"/>
        <v>Florida State College at Jacksonville</v>
      </c>
      <c r="B80" s="13">
        <v>43539281.018098854</v>
      </c>
      <c r="C80" s="13">
        <f t="shared" si="3"/>
        <v>2176964.0509049427</v>
      </c>
      <c r="D80" s="13">
        <f t="shared" si="4"/>
        <v>0</v>
      </c>
      <c r="E80" s="13">
        <f t="shared" si="5"/>
        <v>0</v>
      </c>
      <c r="F80" s="13">
        <f t="shared" si="6"/>
        <v>2176964.0509049427</v>
      </c>
    </row>
    <row r="81" spans="1:6" ht="25.35" customHeight="1">
      <c r="A81" s="547" t="str">
        <f t="shared" si="2"/>
        <v>College of the Florida Keys</v>
      </c>
      <c r="B81" s="339">
        <v>2746294.0294472799</v>
      </c>
      <c r="C81" s="339">
        <f t="shared" si="3"/>
        <v>137314.70147236399</v>
      </c>
      <c r="D81" s="339">
        <f t="shared" si="4"/>
        <v>1</v>
      </c>
      <c r="E81" s="339">
        <f t="shared" si="5"/>
        <v>54925.880588945598</v>
      </c>
      <c r="F81" s="339">
        <f t="shared" si="6"/>
        <v>192240.5820613096</v>
      </c>
    </row>
    <row r="82" spans="1:6" ht="25.35" customHeight="1">
      <c r="A82" s="547" t="str">
        <f t="shared" si="2"/>
        <v>Gulf Coast State College</v>
      </c>
      <c r="B82" s="339">
        <v>8376750.2649892215</v>
      </c>
      <c r="C82" s="339">
        <f t="shared" si="3"/>
        <v>418837.51324946107</v>
      </c>
      <c r="D82" s="339">
        <f t="shared" si="4"/>
        <v>1</v>
      </c>
      <c r="E82" s="339">
        <f t="shared" si="5"/>
        <v>167535.00529978445</v>
      </c>
      <c r="F82" s="339">
        <f t="shared" si="6"/>
        <v>586372.51854924555</v>
      </c>
    </row>
    <row r="83" spans="1:6" ht="25.35" customHeight="1">
      <c r="A83" s="546" t="str">
        <f t="shared" si="2"/>
        <v>Hillsborough College</v>
      </c>
      <c r="B83" s="13">
        <v>50477897.400374934</v>
      </c>
      <c r="C83" s="13">
        <f>B83*0.05</f>
        <v>2523894.8700187467</v>
      </c>
      <c r="D83" s="13">
        <f t="shared" si="4"/>
        <v>0</v>
      </c>
      <c r="E83" s="13">
        <f t="shared" si="5"/>
        <v>0</v>
      </c>
      <c r="F83" s="13">
        <f t="shared" si="6"/>
        <v>2523894.8700187467</v>
      </c>
    </row>
    <row r="84" spans="1:6" ht="25.35" customHeight="1">
      <c r="A84" s="546" t="str">
        <f t="shared" si="2"/>
        <v>Indian River State College</v>
      </c>
      <c r="B84" s="13">
        <v>25961423.506364446</v>
      </c>
      <c r="C84" s="13">
        <f t="shared" si="3"/>
        <v>1298071.1753182225</v>
      </c>
      <c r="D84" s="13">
        <f t="shared" si="4"/>
        <v>0</v>
      </c>
      <c r="E84" s="13">
        <f t="shared" si="5"/>
        <v>0</v>
      </c>
      <c r="F84" s="13">
        <f t="shared" si="6"/>
        <v>1298071.1753182225</v>
      </c>
    </row>
    <row r="85" spans="1:6" ht="25.35" customHeight="1">
      <c r="A85" s="547" t="str">
        <f t="shared" si="2"/>
        <v>Florida Gateway College</v>
      </c>
      <c r="B85" s="339">
        <v>5097365.4283460919</v>
      </c>
      <c r="C85" s="339">
        <f t="shared" si="3"/>
        <v>254868.27141730461</v>
      </c>
      <c r="D85" s="339">
        <f t="shared" si="4"/>
        <v>1</v>
      </c>
      <c r="E85" s="339">
        <f t="shared" si="5"/>
        <v>101947.30856692184</v>
      </c>
      <c r="F85" s="339">
        <f t="shared" si="6"/>
        <v>356815.57998422644</v>
      </c>
    </row>
    <row r="86" spans="1:6" ht="25.35" customHeight="1">
      <c r="A86" s="546" t="str">
        <f t="shared" si="2"/>
        <v>Lake-Sumter State College</v>
      </c>
      <c r="B86" s="13">
        <v>10889847.105480785</v>
      </c>
      <c r="C86" s="13">
        <f t="shared" si="3"/>
        <v>544492.3552740392</v>
      </c>
      <c r="D86" s="13">
        <f t="shared" si="4"/>
        <v>0</v>
      </c>
      <c r="E86" s="13">
        <f t="shared" si="5"/>
        <v>0</v>
      </c>
      <c r="F86" s="13">
        <f t="shared" si="6"/>
        <v>544492.3552740392</v>
      </c>
    </row>
    <row r="87" spans="1:6" ht="25.35" customHeight="1">
      <c r="A87" s="546" t="str">
        <f t="shared" si="2"/>
        <v>State College of Florida, Manatee-Sarasota</v>
      </c>
      <c r="B87" s="13">
        <v>17406350.955130555</v>
      </c>
      <c r="C87" s="13">
        <f t="shared" si="3"/>
        <v>870317.54775652778</v>
      </c>
      <c r="D87" s="13">
        <f t="shared" si="4"/>
        <v>0</v>
      </c>
      <c r="E87" s="13">
        <f t="shared" si="5"/>
        <v>0</v>
      </c>
      <c r="F87" s="13">
        <f t="shared" si="6"/>
        <v>870317.54775652778</v>
      </c>
    </row>
    <row r="88" spans="1:6" ht="25.35" customHeight="1">
      <c r="A88" s="546" t="str">
        <f t="shared" si="2"/>
        <v>Miami Dade College</v>
      </c>
      <c r="B88" s="13">
        <v>130774494.22147152</v>
      </c>
      <c r="C88" s="13">
        <f t="shared" si="3"/>
        <v>6538724.7110735765</v>
      </c>
      <c r="D88" s="13">
        <f t="shared" si="4"/>
        <v>0</v>
      </c>
      <c r="E88" s="13">
        <f t="shared" si="5"/>
        <v>0</v>
      </c>
      <c r="F88" s="13">
        <f t="shared" si="6"/>
        <v>6538724.7110735765</v>
      </c>
    </row>
    <row r="89" spans="1:6" ht="25.35" customHeight="1">
      <c r="A89" s="547" t="str">
        <f t="shared" si="2"/>
        <v>North Florida College</v>
      </c>
      <c r="B89" s="339">
        <v>1946909.6576149892</v>
      </c>
      <c r="C89" s="339">
        <f t="shared" si="3"/>
        <v>97345.482880749463</v>
      </c>
      <c r="D89" s="339">
        <f t="shared" si="4"/>
        <v>1</v>
      </c>
      <c r="E89" s="339">
        <f t="shared" si="5"/>
        <v>38938.193152299784</v>
      </c>
      <c r="F89" s="339">
        <f t="shared" si="6"/>
        <v>136283.67603304924</v>
      </c>
    </row>
    <row r="90" spans="1:6" ht="25.35" customHeight="1">
      <c r="A90" s="547" t="str">
        <f t="shared" si="2"/>
        <v>Northwest Florida State College</v>
      </c>
      <c r="B90" s="339">
        <v>8566615.1732038241</v>
      </c>
      <c r="C90" s="339">
        <f t="shared" si="3"/>
        <v>428330.7586601912</v>
      </c>
      <c r="D90" s="339">
        <f t="shared" si="4"/>
        <v>1</v>
      </c>
      <c r="E90" s="339">
        <f t="shared" si="5"/>
        <v>171332.30346407648</v>
      </c>
      <c r="F90" s="339">
        <f t="shared" si="6"/>
        <v>599663.06212426769</v>
      </c>
    </row>
    <row r="91" spans="1:6" ht="25.35" customHeight="1">
      <c r="A91" s="546" t="str">
        <f t="shared" si="2"/>
        <v>Palm Beach State College</v>
      </c>
      <c r="B91" s="13">
        <v>46946197.46757938</v>
      </c>
      <c r="C91" s="13">
        <f t="shared" si="3"/>
        <v>2347309.8733789693</v>
      </c>
      <c r="D91" s="13">
        <f t="shared" si="4"/>
        <v>0</v>
      </c>
      <c r="E91" s="13">
        <f t="shared" si="5"/>
        <v>0</v>
      </c>
      <c r="F91" s="13">
        <f t="shared" si="6"/>
        <v>2347309.8733789693</v>
      </c>
    </row>
    <row r="92" spans="1:6" ht="25.35" customHeight="1">
      <c r="A92" s="546" t="str">
        <f t="shared" si="2"/>
        <v>Pasco-Hernando State College</v>
      </c>
      <c r="B92" s="13">
        <v>13616408.071018731</v>
      </c>
      <c r="C92" s="13">
        <f t="shared" si="3"/>
        <v>680820.40355093661</v>
      </c>
      <c r="D92" s="13">
        <f t="shared" si="4"/>
        <v>0</v>
      </c>
      <c r="E92" s="13">
        <f t="shared" si="5"/>
        <v>0</v>
      </c>
      <c r="F92" s="13">
        <f t="shared" si="6"/>
        <v>680820.40355093661</v>
      </c>
    </row>
    <row r="93" spans="1:6" ht="25.35" customHeight="1">
      <c r="A93" s="546" t="str">
        <f t="shared" si="2"/>
        <v>Pensacola State College</v>
      </c>
      <c r="B93" s="13">
        <v>17915746.828453369</v>
      </c>
      <c r="C93" s="13">
        <f t="shared" si="3"/>
        <v>895787.34142266854</v>
      </c>
      <c r="D93" s="13">
        <f t="shared" si="4"/>
        <v>0</v>
      </c>
      <c r="E93" s="13">
        <f t="shared" si="5"/>
        <v>0</v>
      </c>
      <c r="F93" s="13">
        <f t="shared" si="6"/>
        <v>895787.34142266854</v>
      </c>
    </row>
    <row r="94" spans="1:6" ht="25.35" customHeight="1">
      <c r="A94" s="546" t="str">
        <f t="shared" si="2"/>
        <v>Polk State College</v>
      </c>
      <c r="B94" s="13">
        <v>15941903.277790094</v>
      </c>
      <c r="C94" s="13">
        <f t="shared" si="3"/>
        <v>797095.16388950474</v>
      </c>
      <c r="D94" s="13">
        <f t="shared" si="4"/>
        <v>0</v>
      </c>
      <c r="E94" s="13">
        <f t="shared" si="5"/>
        <v>0</v>
      </c>
      <c r="F94" s="13">
        <f t="shared" si="6"/>
        <v>797095.16388950474</v>
      </c>
    </row>
    <row r="95" spans="1:6" ht="25.35" customHeight="1">
      <c r="A95" s="547" t="str">
        <f t="shared" si="2"/>
        <v>St. Johns River State College</v>
      </c>
      <c r="B95" s="339">
        <v>9309553.6917010136</v>
      </c>
      <c r="C95" s="339">
        <f t="shared" si="3"/>
        <v>465477.68458505068</v>
      </c>
      <c r="D95" s="339">
        <f t="shared" si="4"/>
        <v>1</v>
      </c>
      <c r="E95" s="339">
        <f t="shared" si="5"/>
        <v>186191.07383402027</v>
      </c>
      <c r="F95" s="339">
        <f t="shared" si="6"/>
        <v>651668.75841907097</v>
      </c>
    </row>
    <row r="96" spans="1:6" ht="25.35" customHeight="1">
      <c r="A96" s="546" t="str">
        <f t="shared" si="2"/>
        <v>St. Petersburg College</v>
      </c>
      <c r="B96" s="13">
        <v>40931068.837396137</v>
      </c>
      <c r="C96" s="13">
        <f t="shared" si="3"/>
        <v>2046553.441869807</v>
      </c>
      <c r="D96" s="13">
        <f t="shared" si="4"/>
        <v>0</v>
      </c>
      <c r="E96" s="13">
        <f t="shared" si="5"/>
        <v>0</v>
      </c>
      <c r="F96" s="13">
        <f t="shared" si="6"/>
        <v>2046553.441869807</v>
      </c>
    </row>
    <row r="97" spans="1:37" ht="25.35" customHeight="1">
      <c r="A97" s="546" t="str">
        <f t="shared" si="2"/>
        <v>Santa Fe College</v>
      </c>
      <c r="B97" s="13">
        <v>28869103.322910879</v>
      </c>
      <c r="C97" s="13">
        <f t="shared" si="3"/>
        <v>1443455.166145544</v>
      </c>
      <c r="D97" s="13">
        <f t="shared" si="4"/>
        <v>0</v>
      </c>
      <c r="E97" s="13">
        <f t="shared" si="5"/>
        <v>0</v>
      </c>
      <c r="F97" s="13">
        <f t="shared" si="6"/>
        <v>1443455.166145544</v>
      </c>
    </row>
    <row r="98" spans="1:37" ht="25.35" customHeight="1">
      <c r="A98" s="546" t="str">
        <f t="shared" si="2"/>
        <v>Seminole State College of Florida</v>
      </c>
      <c r="B98" s="13">
        <v>27818201.53212212</v>
      </c>
      <c r="C98" s="13">
        <f t="shared" si="3"/>
        <v>1390910.076606106</v>
      </c>
      <c r="D98" s="13">
        <f t="shared" si="4"/>
        <v>0</v>
      </c>
      <c r="E98" s="13">
        <f t="shared" si="5"/>
        <v>0</v>
      </c>
      <c r="F98" s="13">
        <f t="shared" si="6"/>
        <v>1390910.076606106</v>
      </c>
    </row>
    <row r="99" spans="1:37" ht="25.35" customHeight="1">
      <c r="A99" s="547" t="str">
        <f t="shared" si="2"/>
        <v>South Florida State College</v>
      </c>
      <c r="B99" s="339">
        <v>4733287.7574971886</v>
      </c>
      <c r="C99" s="339">
        <f t="shared" si="3"/>
        <v>236664.38787485944</v>
      </c>
      <c r="D99" s="339">
        <f t="shared" si="4"/>
        <v>1</v>
      </c>
      <c r="E99" s="339">
        <f t="shared" si="5"/>
        <v>94665.755149943769</v>
      </c>
      <c r="F99" s="339">
        <f t="shared" si="6"/>
        <v>331330.1430248032</v>
      </c>
    </row>
    <row r="100" spans="1:37" ht="25.35" customHeight="1">
      <c r="A100" s="546" t="str">
        <f t="shared" si="2"/>
        <v>Tallahassee State College</v>
      </c>
      <c r="B100" s="13">
        <v>27596167.3972946</v>
      </c>
      <c r="C100" s="13">
        <f t="shared" si="3"/>
        <v>1379808.3698647302</v>
      </c>
      <c r="D100" s="13">
        <f t="shared" si="4"/>
        <v>0</v>
      </c>
      <c r="E100" s="13">
        <f t="shared" si="5"/>
        <v>0</v>
      </c>
      <c r="F100" s="13">
        <f t="shared" si="6"/>
        <v>1379808.3698647302</v>
      </c>
    </row>
    <row r="101" spans="1:37" ht="25.35" customHeight="1" thickBot="1">
      <c r="A101" s="546" t="str">
        <f t="shared" si="2"/>
        <v>Valencia College</v>
      </c>
      <c r="B101" s="19">
        <v>108238944.34118673</v>
      </c>
      <c r="C101" s="19">
        <f t="shared" si="3"/>
        <v>5411947.2170593366</v>
      </c>
      <c r="D101" s="19">
        <f t="shared" si="4"/>
        <v>0</v>
      </c>
      <c r="E101" s="19">
        <f t="shared" si="5"/>
        <v>0</v>
      </c>
      <c r="F101" s="19">
        <f t="shared" si="6"/>
        <v>5411947.2170593366</v>
      </c>
    </row>
    <row r="102" spans="1:37" ht="25.35" customHeight="1" thickBot="1">
      <c r="A102" s="56" t="s">
        <v>52</v>
      </c>
      <c r="B102" s="373">
        <f>SUM(B74:B101)</f>
        <v>802975454.37280917</v>
      </c>
      <c r="C102" s="373">
        <f>SUM(C74:C101)</f>
        <v>40148772.718640447</v>
      </c>
      <c r="D102" s="57">
        <f>SUM(D74:D101)</f>
        <v>8</v>
      </c>
      <c r="E102" s="373">
        <f>SUM(E74:E101)</f>
        <v>871828.34627250407</v>
      </c>
      <c r="F102" s="374">
        <f>SUM(C102+E102)</f>
        <v>41020601.064912952</v>
      </c>
    </row>
    <row r="103" spans="1:37" ht="25.35" customHeight="1">
      <c r="A103" s="66"/>
    </row>
    <row r="104" spans="1:37" ht="25.35" customHeight="1">
      <c r="A104" s="67" t="s">
        <v>94</v>
      </c>
    </row>
    <row r="105" spans="1:37" ht="25.35" customHeight="1">
      <c r="A105" s="840" t="s">
        <v>95</v>
      </c>
      <c r="B105" s="840"/>
      <c r="C105" s="840"/>
      <c r="D105" s="840"/>
      <c r="E105" s="840"/>
      <c r="F105" s="840"/>
      <c r="G105" s="840"/>
      <c r="H105" s="840"/>
      <c r="I105" s="840"/>
      <c r="J105" s="840"/>
      <c r="K105" s="840"/>
      <c r="L105" s="840"/>
      <c r="M105" s="840"/>
      <c r="N105" s="840"/>
      <c r="O105" s="840"/>
      <c r="P105" s="840"/>
      <c r="Q105" s="840"/>
      <c r="R105" s="840"/>
    </row>
    <row r="106" spans="1:37" ht="20.100000000000001" customHeight="1">
      <c r="A106" s="839" t="s">
        <v>96</v>
      </c>
      <c r="B106" s="839"/>
      <c r="C106" s="839"/>
      <c r="D106" s="839"/>
      <c r="E106" s="839"/>
      <c r="F106" s="839"/>
      <c r="G106" s="839"/>
      <c r="H106" s="839"/>
      <c r="I106" s="839"/>
      <c r="J106" s="839"/>
      <c r="K106" s="839"/>
      <c r="L106" s="839"/>
      <c r="M106" s="839"/>
      <c r="N106" s="839"/>
      <c r="O106" s="839"/>
      <c r="P106" s="839"/>
      <c r="Q106" s="839"/>
      <c r="R106" s="839"/>
      <c r="S106" s="425"/>
    </row>
    <row r="107" spans="1:37" ht="20.100000000000001" customHeight="1">
      <c r="A107" s="411" t="s">
        <v>97</v>
      </c>
      <c r="B107" s="411"/>
      <c r="C107" s="411"/>
      <c r="D107" s="411"/>
      <c r="E107" s="411"/>
      <c r="F107" s="411"/>
      <c r="G107" s="411"/>
      <c r="H107" s="411"/>
      <c r="I107" s="411"/>
      <c r="J107" s="411"/>
      <c r="K107" s="411"/>
      <c r="L107" s="411"/>
      <c r="M107" s="411"/>
      <c r="N107" s="411"/>
      <c r="O107" s="411"/>
      <c r="P107" s="411"/>
      <c r="Q107" s="411"/>
      <c r="R107" s="411"/>
    </row>
    <row r="108" spans="1:37" ht="20.100000000000001" customHeight="1">
      <c r="A108" s="839" t="s">
        <v>98</v>
      </c>
      <c r="B108" s="839"/>
      <c r="C108" s="839"/>
      <c r="D108" s="839"/>
      <c r="E108" s="839"/>
      <c r="F108" s="839"/>
      <c r="G108" s="839"/>
      <c r="H108" s="839"/>
      <c r="I108" s="839"/>
      <c r="J108" s="839"/>
      <c r="K108" s="839"/>
      <c r="L108" s="839"/>
      <c r="M108" s="839"/>
      <c r="N108" s="839"/>
      <c r="O108" s="839"/>
      <c r="P108" s="839"/>
      <c r="Q108" s="839"/>
      <c r="R108" s="839"/>
    </row>
    <row r="109" spans="1:37" ht="20.100000000000001" customHeight="1">
      <c r="A109" s="839"/>
      <c r="B109" s="839"/>
      <c r="C109" s="839"/>
      <c r="D109" s="839"/>
      <c r="E109" s="839"/>
      <c r="F109" s="839"/>
      <c r="G109" s="839"/>
    </row>
    <row r="110" spans="1:37" ht="32.450000000000003" customHeight="1" thickBot="1">
      <c r="E110" s="422"/>
      <c r="F110" s="422"/>
      <c r="G110" s="422"/>
    </row>
    <row r="111" spans="1:37" ht="43.35" customHeight="1" thickBot="1">
      <c r="A111" s="39" t="s">
        <v>99</v>
      </c>
      <c r="B111" s="834" t="s">
        <v>100</v>
      </c>
      <c r="C111" s="835"/>
      <c r="D111" s="836"/>
      <c r="E111" s="837" t="s">
        <v>101</v>
      </c>
      <c r="F111" s="837"/>
      <c r="G111" s="837"/>
      <c r="H111" s="837"/>
      <c r="I111" s="837"/>
      <c r="J111" s="837"/>
      <c r="K111" s="837"/>
      <c r="L111" s="837"/>
      <c r="M111" s="837"/>
      <c r="N111" s="837"/>
      <c r="O111" s="837"/>
      <c r="P111" s="837"/>
      <c r="Q111" s="837"/>
      <c r="R111" s="837"/>
      <c r="S111" s="838"/>
      <c r="T111" s="12"/>
      <c r="U111" s="12"/>
      <c r="AC111" s="12"/>
      <c r="AK111" s="345"/>
    </row>
    <row r="112" spans="1:37" ht="39" customHeight="1" thickBot="1">
      <c r="A112" s="38">
        <v>1</v>
      </c>
      <c r="B112" s="36">
        <v>2</v>
      </c>
      <c r="C112" s="837">
        <v>3</v>
      </c>
      <c r="D112" s="838">
        <v>4</v>
      </c>
      <c r="E112" s="837">
        <v>5</v>
      </c>
      <c r="F112" s="837">
        <v>6</v>
      </c>
      <c r="G112" s="837">
        <v>7</v>
      </c>
      <c r="H112" s="837">
        <v>8</v>
      </c>
      <c r="I112" s="837">
        <v>9</v>
      </c>
      <c r="J112" s="837">
        <v>10</v>
      </c>
      <c r="K112" s="837">
        <v>11</v>
      </c>
      <c r="L112" s="837">
        <v>12</v>
      </c>
      <c r="M112" s="837">
        <v>13</v>
      </c>
      <c r="N112" s="837">
        <v>14</v>
      </c>
      <c r="O112" s="837">
        <v>15</v>
      </c>
      <c r="P112" s="837">
        <v>16</v>
      </c>
      <c r="Q112" s="837">
        <v>17</v>
      </c>
      <c r="R112" s="837">
        <v>18</v>
      </c>
      <c r="S112" s="838">
        <v>19</v>
      </c>
      <c r="T112" s="866" t="s">
        <v>52</v>
      </c>
      <c r="U112" s="20"/>
      <c r="V112" s="36">
        <v>20</v>
      </c>
      <c r="W112" s="837">
        <v>21</v>
      </c>
      <c r="X112" s="837">
        <v>22</v>
      </c>
      <c r="Y112" s="49"/>
      <c r="Z112" s="837">
        <v>23</v>
      </c>
      <c r="AA112" s="837">
        <v>24</v>
      </c>
      <c r="AB112" s="838">
        <v>25</v>
      </c>
      <c r="AC112" s="23"/>
    </row>
    <row r="113" spans="1:50" ht="29.45" customHeight="1" thickBot="1">
      <c r="A113" s="47" t="s">
        <v>102</v>
      </c>
      <c r="B113" s="874" t="s">
        <v>103</v>
      </c>
      <c r="C113" s="875"/>
      <c r="D113" s="876"/>
      <c r="E113" s="22"/>
      <c r="G113" s="851"/>
      <c r="H113" s="851"/>
      <c r="I113" s="851"/>
      <c r="J113" s="851" t="s">
        <v>104</v>
      </c>
      <c r="K113" s="851"/>
      <c r="L113" s="851"/>
      <c r="M113" s="851"/>
      <c r="N113" s="851"/>
      <c r="O113" s="851"/>
      <c r="P113" s="851"/>
      <c r="Q113" s="860" t="s">
        <v>105</v>
      </c>
      <c r="R113" s="861"/>
      <c r="S113" s="862"/>
      <c r="T113" s="867" t="s">
        <v>106</v>
      </c>
      <c r="U113" s="24"/>
      <c r="V113" s="25"/>
      <c r="W113" s="26"/>
      <c r="X113" s="27"/>
      <c r="Y113" s="50"/>
      <c r="Z113" s="852"/>
      <c r="AA113" s="853"/>
      <c r="AB113" s="854"/>
      <c r="AC113" s="12"/>
      <c r="AD113" s="924" t="s">
        <v>107</v>
      </c>
      <c r="AF113" s="21"/>
    </row>
    <row r="114" spans="1:50" ht="66" customHeight="1" thickBot="1">
      <c r="A114" s="28"/>
      <c r="B114" s="36" t="s">
        <v>108</v>
      </c>
      <c r="C114" s="837"/>
      <c r="D114" s="838"/>
      <c r="E114" s="36" t="s">
        <v>109</v>
      </c>
      <c r="F114" s="837"/>
      <c r="G114" s="838"/>
      <c r="H114" s="36" t="s">
        <v>110</v>
      </c>
      <c r="I114" s="837"/>
      <c r="J114" s="838"/>
      <c r="K114" s="842" t="s">
        <v>111</v>
      </c>
      <c r="L114" s="842"/>
      <c r="M114" s="842"/>
      <c r="N114" s="30" t="s">
        <v>112</v>
      </c>
      <c r="O114" s="843"/>
      <c r="P114" s="31"/>
      <c r="Q114" s="863" t="s">
        <v>113</v>
      </c>
      <c r="R114" s="864"/>
      <c r="S114" s="865"/>
      <c r="T114" s="915"/>
      <c r="U114" s="14"/>
      <c r="V114" s="953" t="s">
        <v>114</v>
      </c>
      <c r="W114" s="956"/>
      <c r="X114" s="957"/>
      <c r="Y114" s="955"/>
      <c r="Z114" s="953" t="s">
        <v>115</v>
      </c>
      <c r="AA114" s="954"/>
      <c r="AB114" s="841"/>
      <c r="AD114" s="35" t="s">
        <v>116</v>
      </c>
      <c r="AF114" s="12"/>
      <c r="AI114" s="868" t="s">
        <v>117</v>
      </c>
      <c r="AJ114" s="868"/>
      <c r="AK114" s="868"/>
      <c r="AL114" s="868"/>
      <c r="AM114" s="868"/>
      <c r="AN114" s="868"/>
      <c r="AO114" s="868"/>
    </row>
    <row r="115" spans="1:50" ht="87" customHeight="1" thickBot="1">
      <c r="A115" s="32" t="s">
        <v>19</v>
      </c>
      <c r="B115" s="766" t="s">
        <v>118</v>
      </c>
      <c r="C115" s="343"/>
      <c r="D115" s="505" t="s">
        <v>61</v>
      </c>
      <c r="E115" s="765" t="s">
        <v>118</v>
      </c>
      <c r="F115" s="764" t="s">
        <v>119</v>
      </c>
      <c r="G115" s="12" t="s">
        <v>61</v>
      </c>
      <c r="H115" s="767" t="s">
        <v>118</v>
      </c>
      <c r="I115" s="768" t="s">
        <v>119</v>
      </c>
      <c r="J115" s="48" t="s">
        <v>61</v>
      </c>
      <c r="K115" s="769" t="s">
        <v>118</v>
      </c>
      <c r="L115" s="770" t="s">
        <v>119</v>
      </c>
      <c r="M115" s="994" t="s">
        <v>61</v>
      </c>
      <c r="N115" s="771" t="s">
        <v>118</v>
      </c>
      <c r="O115" s="770" t="s">
        <v>119</v>
      </c>
      <c r="P115" s="477" t="s">
        <v>61</v>
      </c>
      <c r="Q115" s="771" t="s">
        <v>118</v>
      </c>
      <c r="R115" s="764" t="s">
        <v>119</v>
      </c>
      <c r="S115" s="48" t="s">
        <v>61</v>
      </c>
      <c r="T115" s="914" t="s">
        <v>120</v>
      </c>
      <c r="V115" s="772" t="s">
        <v>118</v>
      </c>
      <c r="W115" s="773" t="s">
        <v>119</v>
      </c>
      <c r="X115" s="995" t="s">
        <v>61</v>
      </c>
      <c r="Y115" s="1106"/>
      <c r="Z115" s="29" t="s">
        <v>118</v>
      </c>
      <c r="AA115" s="774" t="s">
        <v>119</v>
      </c>
      <c r="AB115" s="996" t="s">
        <v>61</v>
      </c>
      <c r="AD115" s="32" t="s">
        <v>19</v>
      </c>
      <c r="AE115" s="775" t="s">
        <v>121</v>
      </c>
      <c r="AF115" s="776" t="s">
        <v>122</v>
      </c>
      <c r="AG115" s="16" t="s">
        <v>123</v>
      </c>
      <c r="AR115" s="20"/>
      <c r="AS115" s="20"/>
      <c r="AT115" s="20"/>
    </row>
    <row r="116" spans="1:50" ht="24.6" customHeight="1">
      <c r="A116" s="340" t="str">
        <f t="shared" ref="A116:A143" si="7">A7</f>
        <v>Eastern Florida State College</v>
      </c>
      <c r="B116" s="412">
        <v>999</v>
      </c>
      <c r="C116" s="877"/>
      <c r="D116" s="760">
        <f t="shared" ref="D116:D143" si="8">B116+C116</f>
        <v>999</v>
      </c>
      <c r="E116" s="855">
        <v>4893.3783494844292</v>
      </c>
      <c r="F116" s="413">
        <v>245.38635031210126</v>
      </c>
      <c r="G116" s="354">
        <f t="shared" ref="G116:G143" si="9">E116+F116</f>
        <v>5138.7646997965303</v>
      </c>
      <c r="H116" s="908">
        <v>1963.931948051948</v>
      </c>
      <c r="I116" s="909">
        <v>68.02170274170274</v>
      </c>
      <c r="J116" s="354">
        <f>H116+I116</f>
        <v>2031.9536507936507</v>
      </c>
      <c r="K116" s="414">
        <v>237.60588842975207</v>
      </c>
      <c r="L116" s="415">
        <v>35.394111570247937</v>
      </c>
      <c r="M116" s="46">
        <f t="shared" ref="M116:M143" si="10">K116+L116</f>
        <v>273</v>
      </c>
      <c r="N116" s="414">
        <v>14</v>
      </c>
      <c r="O116" s="415">
        <v>0</v>
      </c>
      <c r="P116" s="46">
        <f t="shared" ref="P116:P143" si="11">N116+O116</f>
        <v>14</v>
      </c>
      <c r="Q116" s="414">
        <v>416.81587035484773</v>
      </c>
      <c r="R116" s="416">
        <v>28.594579491478068</v>
      </c>
      <c r="S116" s="354">
        <f t="shared" ref="S116:S143" si="12">Q116+R116</f>
        <v>445.41044984632578</v>
      </c>
      <c r="T116" s="46">
        <f t="shared" ref="T116:T143" si="13">D116+G116+J116+M116+P116+S116</f>
        <v>8902.1288004365069</v>
      </c>
      <c r="V116" s="997">
        <f>X116-W116</f>
        <v>0</v>
      </c>
      <c r="W116" s="417">
        <v>0</v>
      </c>
      <c r="X116" s="418">
        <v>0</v>
      </c>
      <c r="Y116" s="68"/>
      <c r="Z116" s="359">
        <f>AB116-AA116</f>
        <v>0</v>
      </c>
      <c r="AA116" s="419">
        <v>0</v>
      </c>
      <c r="AB116" s="1107">
        <f t="shared" ref="AB116:AB143" si="14">AG116</f>
        <v>0</v>
      </c>
      <c r="AD116" s="340" t="str">
        <f t="shared" ref="AD116:AD143" si="15">A116</f>
        <v>Eastern Florida State College</v>
      </c>
      <c r="AE116" s="420">
        <v>0</v>
      </c>
      <c r="AF116" s="420">
        <v>0</v>
      </c>
      <c r="AG116" s="361">
        <f t="shared" ref="AG116:AG143" si="16">AE116+AF116</f>
        <v>0</v>
      </c>
      <c r="AI116" s="850" t="s">
        <v>124</v>
      </c>
      <c r="AJ116" s="850"/>
      <c r="AK116" s="850"/>
      <c r="AL116" s="850"/>
      <c r="AM116" s="850"/>
      <c r="AN116" s="850"/>
      <c r="AO116" s="34">
        <f>X144+AB144</f>
        <v>4331</v>
      </c>
      <c r="AR116" s="20"/>
      <c r="AS116" s="20"/>
      <c r="AT116" s="20"/>
    </row>
    <row r="117" spans="1:50" ht="25.35" customHeight="1">
      <c r="A117" s="1108" t="str">
        <f t="shared" si="7"/>
        <v>Broward College</v>
      </c>
      <c r="B117" s="539">
        <v>1171</v>
      </c>
      <c r="C117" s="998"/>
      <c r="D117" s="761">
        <f t="shared" si="8"/>
        <v>1171</v>
      </c>
      <c r="E117" s="856">
        <v>11966.858612912321</v>
      </c>
      <c r="F117" s="999">
        <v>685.57085800206744</v>
      </c>
      <c r="G117" s="1000">
        <f t="shared" si="9"/>
        <v>12652.429470914389</v>
      </c>
      <c r="H117" s="910">
        <v>6746.5980471928397</v>
      </c>
      <c r="I117" s="911">
        <v>384.20341741253054</v>
      </c>
      <c r="J117" s="1000">
        <f t="shared" ref="J117:J143" si="17">H117+I117</f>
        <v>7130.8014646053698</v>
      </c>
      <c r="K117" s="548">
        <v>528.41772151898738</v>
      </c>
      <c r="L117" s="540">
        <v>76.582278481012651</v>
      </c>
      <c r="M117" s="1001">
        <f t="shared" si="10"/>
        <v>605</v>
      </c>
      <c r="N117" s="548">
        <v>6.6330275229357802</v>
      </c>
      <c r="O117" s="540">
        <v>0.36697247706422015</v>
      </c>
      <c r="P117" s="1001">
        <f t="shared" si="11"/>
        <v>7</v>
      </c>
      <c r="Q117" s="548">
        <v>241.22745270567532</v>
      </c>
      <c r="R117" s="1002">
        <v>3.7725472943246809</v>
      </c>
      <c r="S117" s="1000">
        <f t="shared" si="12"/>
        <v>245</v>
      </c>
      <c r="T117" s="1001">
        <f t="shared" si="13"/>
        <v>21811.230935519758</v>
      </c>
      <c r="V117" s="997">
        <f t="shared" ref="V117:V143" si="18">X117-W117</f>
        <v>0</v>
      </c>
      <c r="W117" s="1002">
        <v>0</v>
      </c>
      <c r="X117" s="1003">
        <v>0</v>
      </c>
      <c r="Y117" s="68"/>
      <c r="Z117" s="1004">
        <f t="shared" ref="Z117:Z143" si="19">AB117-AA117</f>
        <v>4</v>
      </c>
      <c r="AA117" s="1005">
        <v>169</v>
      </c>
      <c r="AB117" s="1107">
        <f t="shared" si="14"/>
        <v>173</v>
      </c>
      <c r="AD117" s="344" t="str">
        <f t="shared" si="15"/>
        <v>Broward College</v>
      </c>
      <c r="AE117" s="1006">
        <v>169</v>
      </c>
      <c r="AF117" s="1006">
        <v>4</v>
      </c>
      <c r="AG117" s="1000">
        <f t="shared" si="16"/>
        <v>173</v>
      </c>
      <c r="AI117" s="850" t="s">
        <v>125</v>
      </c>
      <c r="AJ117" s="850"/>
      <c r="AK117" s="850"/>
      <c r="AL117" s="850"/>
      <c r="AM117" s="850"/>
      <c r="AN117" s="850"/>
      <c r="AO117" s="421">
        <v>35086.776785970986</v>
      </c>
      <c r="AR117" s="140"/>
      <c r="AS117" s="140"/>
      <c r="AT117" s="140"/>
      <c r="AU117" s="140"/>
      <c r="AV117" s="140"/>
      <c r="AW117" s="140"/>
      <c r="AX117" s="140"/>
    </row>
    <row r="118" spans="1:50" ht="25.35" customHeight="1">
      <c r="A118" s="859" t="str">
        <f t="shared" si="7"/>
        <v>College of Central Florida</v>
      </c>
      <c r="B118" s="539">
        <v>309</v>
      </c>
      <c r="C118" s="998"/>
      <c r="D118" s="761">
        <f t="shared" si="8"/>
        <v>309</v>
      </c>
      <c r="E118" s="856">
        <v>2130.6010746865495</v>
      </c>
      <c r="F118" s="999">
        <v>104.13112842087727</v>
      </c>
      <c r="G118" s="1000">
        <f t="shared" si="9"/>
        <v>2234.7322031074268</v>
      </c>
      <c r="H118" s="910">
        <v>1372.6260355029585</v>
      </c>
      <c r="I118" s="911">
        <v>60.240236686390539</v>
      </c>
      <c r="J118" s="1000">
        <f t="shared" si="17"/>
        <v>1432.866272189349</v>
      </c>
      <c r="K118" s="548">
        <v>108.07586933614331</v>
      </c>
      <c r="L118" s="540">
        <v>23.924130663856687</v>
      </c>
      <c r="M118" s="1001">
        <f t="shared" si="10"/>
        <v>132</v>
      </c>
      <c r="N118" s="548">
        <v>0</v>
      </c>
      <c r="O118" s="540">
        <v>0</v>
      </c>
      <c r="P118" s="1001">
        <f t="shared" si="11"/>
        <v>0</v>
      </c>
      <c r="Q118" s="548">
        <v>137.22134387351778</v>
      </c>
      <c r="R118" s="1002">
        <v>0.82450592885375484</v>
      </c>
      <c r="S118" s="1000">
        <f t="shared" si="12"/>
        <v>138.04584980237155</v>
      </c>
      <c r="T118" s="1001">
        <f t="shared" si="13"/>
        <v>4246.6443250991479</v>
      </c>
      <c r="V118" s="997">
        <f t="shared" si="18"/>
        <v>0</v>
      </c>
      <c r="W118" s="1002">
        <v>0</v>
      </c>
      <c r="X118" s="1003">
        <v>0</v>
      </c>
      <c r="Y118" s="68"/>
      <c r="Z118" s="1004">
        <f t="shared" si="19"/>
        <v>6.9586776859504145</v>
      </c>
      <c r="AA118" s="1005">
        <v>10.041322314049586</v>
      </c>
      <c r="AB118" s="1107">
        <f t="shared" si="14"/>
        <v>17</v>
      </c>
      <c r="AD118" s="859" t="str">
        <f t="shared" si="15"/>
        <v>College of Central Florida</v>
      </c>
      <c r="AE118" s="1006">
        <v>15</v>
      </c>
      <c r="AF118" s="1006">
        <v>2</v>
      </c>
      <c r="AG118" s="1000">
        <f t="shared" si="16"/>
        <v>17</v>
      </c>
      <c r="AI118" s="850" t="s">
        <v>126</v>
      </c>
      <c r="AJ118" s="850"/>
      <c r="AK118" s="850"/>
      <c r="AL118" s="850"/>
      <c r="AM118" s="850"/>
      <c r="AN118" s="850"/>
      <c r="AO118" s="517">
        <v>4063</v>
      </c>
    </row>
    <row r="119" spans="1:50" ht="25.35" customHeight="1">
      <c r="A119" s="859" t="str">
        <f t="shared" si="7"/>
        <v>Chipola College</v>
      </c>
      <c r="B119" s="539">
        <v>138</v>
      </c>
      <c r="C119" s="998"/>
      <c r="D119" s="761">
        <f t="shared" si="8"/>
        <v>138</v>
      </c>
      <c r="E119" s="856">
        <v>585.74926542605283</v>
      </c>
      <c r="F119" s="999">
        <v>46.209108716944179</v>
      </c>
      <c r="G119" s="1000">
        <f t="shared" si="9"/>
        <v>631.95837414299706</v>
      </c>
      <c r="H119" s="910">
        <v>176.61202185792351</v>
      </c>
      <c r="I119" s="911">
        <v>5.4644808743169397</v>
      </c>
      <c r="J119" s="1000">
        <f t="shared" si="17"/>
        <v>182.07650273224044</v>
      </c>
      <c r="K119" s="548">
        <v>2.7777777777777781</v>
      </c>
      <c r="L119" s="540">
        <v>3.2222222222222219</v>
      </c>
      <c r="M119" s="1001">
        <f t="shared" si="10"/>
        <v>6</v>
      </c>
      <c r="N119" s="548">
        <v>0</v>
      </c>
      <c r="O119" s="540">
        <v>0</v>
      </c>
      <c r="P119" s="1001">
        <f t="shared" si="11"/>
        <v>0</v>
      </c>
      <c r="Q119" s="548">
        <v>237.39764831640832</v>
      </c>
      <c r="R119" s="1002">
        <v>1.7509353287012295</v>
      </c>
      <c r="S119" s="1000">
        <f t="shared" si="12"/>
        <v>239.14858364510954</v>
      </c>
      <c r="T119" s="1001">
        <f t="shared" si="13"/>
        <v>1197.1834605203471</v>
      </c>
      <c r="V119" s="997">
        <f t="shared" si="18"/>
        <v>0</v>
      </c>
      <c r="W119" s="1002">
        <v>0</v>
      </c>
      <c r="X119" s="1003">
        <v>0</v>
      </c>
      <c r="Y119" s="68"/>
      <c r="Z119" s="1004">
        <f t="shared" si="19"/>
        <v>0</v>
      </c>
      <c r="AA119" s="1005">
        <v>0</v>
      </c>
      <c r="AB119" s="1107">
        <f t="shared" si="14"/>
        <v>0</v>
      </c>
      <c r="AD119" s="859" t="str">
        <f t="shared" si="15"/>
        <v>Chipola College</v>
      </c>
      <c r="AE119" s="1006">
        <v>0</v>
      </c>
      <c r="AF119" s="1006">
        <v>0</v>
      </c>
      <c r="AG119" s="1000">
        <f t="shared" si="16"/>
        <v>0</v>
      </c>
      <c r="AI119" s="20" t="s">
        <v>61</v>
      </c>
      <c r="AJ119" s="20"/>
      <c r="AK119" s="20"/>
      <c r="AL119" s="20"/>
      <c r="AM119" s="20"/>
      <c r="AN119" s="20"/>
      <c r="AO119" s="33">
        <f>SUM(AO116:AO118)</f>
        <v>43480.776785970986</v>
      </c>
      <c r="AR119" s="140"/>
      <c r="AS119" s="140"/>
      <c r="AT119" s="140"/>
      <c r="AU119" s="140"/>
      <c r="AV119" s="140"/>
      <c r="AW119" s="140"/>
      <c r="AX119" s="140"/>
    </row>
    <row r="120" spans="1:50" ht="25.35" customHeight="1">
      <c r="A120" s="859" t="str">
        <f t="shared" si="7"/>
        <v>Daytona State College</v>
      </c>
      <c r="B120" s="539">
        <v>975</v>
      </c>
      <c r="C120" s="998"/>
      <c r="D120" s="761">
        <f t="shared" si="8"/>
        <v>975</v>
      </c>
      <c r="E120" s="856">
        <v>4560.8614307724492</v>
      </c>
      <c r="F120" s="999">
        <v>292.67743898959543</v>
      </c>
      <c r="G120" s="1000">
        <f t="shared" si="9"/>
        <v>4853.5388697620447</v>
      </c>
      <c r="H120" s="910">
        <v>2160.2437197003082</v>
      </c>
      <c r="I120" s="911">
        <v>102.31717349786985</v>
      </c>
      <c r="J120" s="1000">
        <f t="shared" si="17"/>
        <v>2262.5608931981783</v>
      </c>
      <c r="K120" s="548">
        <v>160.72123552123551</v>
      </c>
      <c r="L120" s="540">
        <v>25.278764478764479</v>
      </c>
      <c r="M120" s="1001">
        <f t="shared" si="10"/>
        <v>186</v>
      </c>
      <c r="N120" s="548">
        <v>1</v>
      </c>
      <c r="O120" s="540">
        <v>0</v>
      </c>
      <c r="P120" s="1001">
        <f t="shared" si="11"/>
        <v>1</v>
      </c>
      <c r="Q120" s="548">
        <v>728.0092896955839</v>
      </c>
      <c r="R120" s="1002">
        <v>29.058024867800487</v>
      </c>
      <c r="S120" s="1000">
        <f t="shared" si="12"/>
        <v>757.06731456338434</v>
      </c>
      <c r="T120" s="1001">
        <f t="shared" si="13"/>
        <v>9035.1670775236071</v>
      </c>
      <c r="V120" s="997">
        <f t="shared" si="18"/>
        <v>2</v>
      </c>
      <c r="W120" s="1002">
        <v>0</v>
      </c>
      <c r="X120" s="1003">
        <v>2</v>
      </c>
      <c r="Y120" s="68"/>
      <c r="Z120" s="1004">
        <f t="shared" si="19"/>
        <v>204</v>
      </c>
      <c r="AA120" s="1005">
        <v>0</v>
      </c>
      <c r="AB120" s="1107">
        <f t="shared" si="14"/>
        <v>204</v>
      </c>
      <c r="AD120" s="859" t="str">
        <f t="shared" si="15"/>
        <v>Daytona State College</v>
      </c>
      <c r="AE120" s="1006">
        <v>169</v>
      </c>
      <c r="AF120" s="1006">
        <v>35</v>
      </c>
      <c r="AG120" s="1000">
        <f t="shared" si="16"/>
        <v>204</v>
      </c>
      <c r="AS120" s="20"/>
    </row>
    <row r="121" spans="1:50" ht="25.35" customHeight="1">
      <c r="A121" s="859" t="str">
        <f t="shared" si="7"/>
        <v>Florida SouthWestern State College</v>
      </c>
      <c r="B121" s="539">
        <v>587</v>
      </c>
      <c r="C121" s="998"/>
      <c r="D121" s="761">
        <f t="shared" si="8"/>
        <v>587</v>
      </c>
      <c r="E121" s="856">
        <v>5031.0065724613869</v>
      </c>
      <c r="F121" s="999">
        <v>254.96856172636649</v>
      </c>
      <c r="G121" s="1000">
        <f t="shared" si="9"/>
        <v>5285.9751341877536</v>
      </c>
      <c r="H121" s="910">
        <v>2975.5429954441911</v>
      </c>
      <c r="I121" s="911">
        <v>75.126423690205016</v>
      </c>
      <c r="J121" s="1000">
        <f t="shared" si="17"/>
        <v>3050.6694191343963</v>
      </c>
      <c r="K121" s="548">
        <v>125.4</v>
      </c>
      <c r="L121" s="540">
        <v>18.600000000000001</v>
      </c>
      <c r="M121" s="1001">
        <f t="shared" si="10"/>
        <v>144</v>
      </c>
      <c r="N121" s="548">
        <v>0</v>
      </c>
      <c r="O121" s="540">
        <v>0</v>
      </c>
      <c r="P121" s="1001">
        <f t="shared" si="11"/>
        <v>0</v>
      </c>
      <c r="Q121" s="548">
        <v>45.551020408163268</v>
      </c>
      <c r="R121" s="1002">
        <v>2.4489795918367343</v>
      </c>
      <c r="S121" s="1000">
        <f t="shared" si="12"/>
        <v>48</v>
      </c>
      <c r="T121" s="1001">
        <f t="shared" si="13"/>
        <v>9115.6445533221504</v>
      </c>
      <c r="V121" s="997">
        <f t="shared" si="18"/>
        <v>0</v>
      </c>
      <c r="W121" s="1002">
        <v>0</v>
      </c>
      <c r="X121" s="1003">
        <v>0</v>
      </c>
      <c r="Y121" s="68"/>
      <c r="Z121" s="1004">
        <f t="shared" si="19"/>
        <v>0</v>
      </c>
      <c r="AA121" s="1005">
        <v>0</v>
      </c>
      <c r="AB121" s="1107">
        <f t="shared" si="14"/>
        <v>0</v>
      </c>
      <c r="AD121" s="859" t="str">
        <f t="shared" si="15"/>
        <v>Florida SouthWestern State College</v>
      </c>
      <c r="AE121" s="1006">
        <v>0</v>
      </c>
      <c r="AF121" s="1006">
        <v>0</v>
      </c>
      <c r="AG121" s="1000">
        <f t="shared" si="16"/>
        <v>0</v>
      </c>
      <c r="AI121" s="20" t="s">
        <v>127</v>
      </c>
      <c r="AO121" s="421">
        <v>323302</v>
      </c>
      <c r="AR121" s="20"/>
      <c r="AS121" s="20"/>
    </row>
    <row r="122" spans="1:50" ht="25.35" customHeight="1">
      <c r="A122" s="859" t="str">
        <f t="shared" si="7"/>
        <v>Florida State College at Jacksonville</v>
      </c>
      <c r="B122" s="539">
        <v>1646</v>
      </c>
      <c r="C122" s="998"/>
      <c r="D122" s="761">
        <f t="shared" si="8"/>
        <v>1646</v>
      </c>
      <c r="E122" s="856">
        <v>8068.2788337895472</v>
      </c>
      <c r="F122" s="999">
        <v>283.02384620281367</v>
      </c>
      <c r="G122" s="1000">
        <f t="shared" si="9"/>
        <v>8351.3026799923609</v>
      </c>
      <c r="H122" s="910">
        <v>3608.690531708759</v>
      </c>
      <c r="I122" s="911">
        <v>79.389700811192483</v>
      </c>
      <c r="J122" s="1000">
        <f t="shared" si="17"/>
        <v>3688.0802325199516</v>
      </c>
      <c r="K122" s="548">
        <v>799.44556451612902</v>
      </c>
      <c r="L122" s="540">
        <v>50.554435483870968</v>
      </c>
      <c r="M122" s="1001">
        <f t="shared" si="10"/>
        <v>850</v>
      </c>
      <c r="N122" s="548">
        <v>-0.98837209302325579</v>
      </c>
      <c r="O122" s="540">
        <v>0.98837209302325579</v>
      </c>
      <c r="P122" s="1001">
        <f t="shared" si="11"/>
        <v>0</v>
      </c>
      <c r="Q122" s="548">
        <v>848.75215957279727</v>
      </c>
      <c r="R122" s="1002">
        <v>40.97424218627296</v>
      </c>
      <c r="S122" s="1000">
        <f t="shared" si="12"/>
        <v>889.7264017590702</v>
      </c>
      <c r="T122" s="1001">
        <f t="shared" si="13"/>
        <v>15425.109314271382</v>
      </c>
      <c r="V122" s="997">
        <f t="shared" si="18"/>
        <v>0</v>
      </c>
      <c r="W122" s="1002">
        <v>0</v>
      </c>
      <c r="X122" s="1003">
        <v>0</v>
      </c>
      <c r="Y122" s="68"/>
      <c r="Z122" s="1004">
        <f t="shared" si="19"/>
        <v>405.44024425705146</v>
      </c>
      <c r="AA122" s="1005">
        <v>13.559755742948536</v>
      </c>
      <c r="AB122" s="1107">
        <f t="shared" si="14"/>
        <v>419</v>
      </c>
      <c r="AD122" s="859" t="str">
        <f t="shared" si="15"/>
        <v>Florida State College at Jacksonville</v>
      </c>
      <c r="AE122" s="1006">
        <v>402</v>
      </c>
      <c r="AF122" s="1006">
        <v>17</v>
      </c>
      <c r="AG122" s="1000">
        <f t="shared" si="16"/>
        <v>419</v>
      </c>
      <c r="AO122" s="518">
        <f>AO119</f>
        <v>43480.776785970986</v>
      </c>
      <c r="AQ122" s="20"/>
      <c r="AR122" s="20"/>
      <c r="AS122" s="20"/>
    </row>
    <row r="123" spans="1:50" ht="25.35" customHeight="1">
      <c r="A123" s="859" t="str">
        <f t="shared" si="7"/>
        <v>College of the Florida Keys</v>
      </c>
      <c r="B123" s="539">
        <v>69</v>
      </c>
      <c r="C123" s="998"/>
      <c r="D123" s="761">
        <f t="shared" si="8"/>
        <v>69</v>
      </c>
      <c r="E123" s="856">
        <v>380.38725985844286</v>
      </c>
      <c r="F123" s="999">
        <v>41.845298281092006</v>
      </c>
      <c r="G123" s="1000">
        <f t="shared" si="9"/>
        <v>422.23255813953489</v>
      </c>
      <c r="H123" s="910">
        <v>210.02468265162199</v>
      </c>
      <c r="I123" s="911">
        <v>35.556417489421719</v>
      </c>
      <c r="J123" s="1000">
        <f t="shared" si="17"/>
        <v>245.58110014104369</v>
      </c>
      <c r="K123" s="548">
        <v>7.875</v>
      </c>
      <c r="L123" s="540">
        <v>2.125</v>
      </c>
      <c r="M123" s="1001">
        <f t="shared" si="10"/>
        <v>10</v>
      </c>
      <c r="N123" s="548">
        <v>0</v>
      </c>
      <c r="O123" s="540">
        <v>0</v>
      </c>
      <c r="P123" s="1001">
        <f t="shared" si="11"/>
        <v>0</v>
      </c>
      <c r="Q123" s="548">
        <v>68</v>
      </c>
      <c r="R123" s="1002">
        <v>0</v>
      </c>
      <c r="S123" s="1000">
        <f t="shared" si="12"/>
        <v>68</v>
      </c>
      <c r="T123" s="1001">
        <f t="shared" si="13"/>
        <v>814.81365828057858</v>
      </c>
      <c r="V123" s="997">
        <f t="shared" si="18"/>
        <v>0</v>
      </c>
      <c r="W123" s="1002">
        <v>0</v>
      </c>
      <c r="X123" s="1003">
        <v>0</v>
      </c>
      <c r="Y123" s="68"/>
      <c r="Z123" s="1004">
        <f t="shared" si="19"/>
        <v>0</v>
      </c>
      <c r="AA123" s="1005">
        <v>0</v>
      </c>
      <c r="AB123" s="1107">
        <f t="shared" si="14"/>
        <v>0</v>
      </c>
      <c r="AD123" s="859" t="str">
        <f t="shared" si="15"/>
        <v>College of the Florida Keys</v>
      </c>
      <c r="AE123" s="1006">
        <v>0</v>
      </c>
      <c r="AF123" s="1006">
        <v>0</v>
      </c>
      <c r="AG123" s="1000">
        <f t="shared" si="16"/>
        <v>0</v>
      </c>
      <c r="AI123" s="849" t="s">
        <v>128</v>
      </c>
      <c r="AJ123" s="849"/>
      <c r="AK123" s="849"/>
      <c r="AL123" s="849"/>
      <c r="AM123" s="849"/>
      <c r="AN123" s="849"/>
      <c r="AO123" s="346">
        <f>AO121-AO122</f>
        <v>279821.22321402899</v>
      </c>
    </row>
    <row r="124" spans="1:50" ht="25.35" customHeight="1">
      <c r="A124" s="859" t="str">
        <f t="shared" si="7"/>
        <v>Gulf Coast State College</v>
      </c>
      <c r="B124" s="539">
        <v>126</v>
      </c>
      <c r="C124" s="998"/>
      <c r="D124" s="761">
        <f t="shared" si="8"/>
        <v>126</v>
      </c>
      <c r="E124" s="856">
        <v>2168.0073078428813</v>
      </c>
      <c r="F124" s="999">
        <v>144.69333159337074</v>
      </c>
      <c r="G124" s="1000">
        <f t="shared" si="9"/>
        <v>2312.700639436252</v>
      </c>
      <c r="H124" s="910">
        <v>549.16173120728922</v>
      </c>
      <c r="I124" s="911">
        <v>35.977220956719826</v>
      </c>
      <c r="J124" s="1000">
        <f t="shared" si="17"/>
        <v>585.13895216400908</v>
      </c>
      <c r="K124" s="548">
        <v>43.857868020304565</v>
      </c>
      <c r="L124" s="540">
        <v>10.142131979695431</v>
      </c>
      <c r="M124" s="1001">
        <f t="shared" si="10"/>
        <v>54</v>
      </c>
      <c r="N124" s="548">
        <v>0</v>
      </c>
      <c r="O124" s="540">
        <v>0</v>
      </c>
      <c r="P124" s="1001">
        <f t="shared" si="11"/>
        <v>0</v>
      </c>
      <c r="Q124" s="548">
        <v>190.28377544725478</v>
      </c>
      <c r="R124" s="1002">
        <v>8.7162245527452189</v>
      </c>
      <c r="S124" s="1000">
        <f t="shared" si="12"/>
        <v>199</v>
      </c>
      <c r="T124" s="1001">
        <f t="shared" si="13"/>
        <v>3276.839591600261</v>
      </c>
      <c r="V124" s="997">
        <f t="shared" si="18"/>
        <v>0</v>
      </c>
      <c r="W124" s="1002">
        <v>0</v>
      </c>
      <c r="X124" s="1003">
        <v>0</v>
      </c>
      <c r="Y124" s="68"/>
      <c r="Z124" s="1004">
        <f t="shared" si="19"/>
        <v>0</v>
      </c>
      <c r="AA124" s="1005">
        <v>0</v>
      </c>
      <c r="AB124" s="1107">
        <f t="shared" si="14"/>
        <v>0</v>
      </c>
      <c r="AD124" s="859" t="str">
        <f t="shared" si="15"/>
        <v>Gulf Coast State College</v>
      </c>
      <c r="AE124" s="1006">
        <v>0</v>
      </c>
      <c r="AF124" s="1006">
        <v>0</v>
      </c>
      <c r="AG124" s="1000">
        <f t="shared" si="16"/>
        <v>0</v>
      </c>
    </row>
    <row r="125" spans="1:50" ht="25.35" customHeight="1">
      <c r="A125" s="859" t="str">
        <f t="shared" si="7"/>
        <v>Hillsborough College</v>
      </c>
      <c r="B125" s="539">
        <v>140</v>
      </c>
      <c r="C125" s="998"/>
      <c r="D125" s="761">
        <f t="shared" si="8"/>
        <v>140</v>
      </c>
      <c r="E125" s="856">
        <v>9713.2079112975734</v>
      </c>
      <c r="F125" s="999">
        <v>600.13230018408319</v>
      </c>
      <c r="G125" s="1000">
        <f t="shared" si="9"/>
        <v>10313.340211481656</v>
      </c>
      <c r="H125" s="910">
        <v>4999.8099358466652</v>
      </c>
      <c r="I125" s="911">
        <v>278.35274433708224</v>
      </c>
      <c r="J125" s="1000">
        <f t="shared" si="17"/>
        <v>5278.1626801837474</v>
      </c>
      <c r="K125" s="548">
        <v>859.11570453134698</v>
      </c>
      <c r="L125" s="540">
        <v>137.88429546865299</v>
      </c>
      <c r="M125" s="1001">
        <f t="shared" si="10"/>
        <v>997</v>
      </c>
      <c r="N125" s="548">
        <v>20</v>
      </c>
      <c r="O125" s="540">
        <v>0</v>
      </c>
      <c r="P125" s="1001">
        <f t="shared" si="11"/>
        <v>20</v>
      </c>
      <c r="Q125" s="548">
        <v>277.52762430939225</v>
      </c>
      <c r="R125" s="1002">
        <v>6.4723756906077341</v>
      </c>
      <c r="S125" s="1000">
        <f t="shared" si="12"/>
        <v>284</v>
      </c>
      <c r="T125" s="1001">
        <f t="shared" si="13"/>
        <v>17032.502891665405</v>
      </c>
      <c r="V125" s="997">
        <f t="shared" si="18"/>
        <v>0</v>
      </c>
      <c r="W125" s="1002">
        <v>0</v>
      </c>
      <c r="X125" s="1003">
        <v>0</v>
      </c>
      <c r="Y125" s="68"/>
      <c r="Z125" s="1004">
        <f t="shared" si="19"/>
        <v>0</v>
      </c>
      <c r="AA125" s="1005">
        <v>0</v>
      </c>
      <c r="AB125" s="1107">
        <f t="shared" si="14"/>
        <v>0</v>
      </c>
      <c r="AD125" s="859" t="str">
        <f t="shared" si="15"/>
        <v>Hillsborough College</v>
      </c>
      <c r="AE125" s="1006">
        <v>0</v>
      </c>
      <c r="AF125" s="1006">
        <v>0</v>
      </c>
      <c r="AG125" s="1000">
        <f t="shared" si="16"/>
        <v>0</v>
      </c>
      <c r="AI125" s="849" t="s">
        <v>129</v>
      </c>
      <c r="AJ125" s="849"/>
      <c r="AK125" s="849"/>
      <c r="AL125" s="849"/>
      <c r="AM125" s="849"/>
      <c r="AN125" s="849"/>
      <c r="AO125" s="347">
        <f>AO119+AO123</f>
        <v>323302</v>
      </c>
    </row>
    <row r="126" spans="1:50" ht="25.35" customHeight="1">
      <c r="A126" s="859" t="str">
        <f t="shared" si="7"/>
        <v>Indian River State College</v>
      </c>
      <c r="B126" s="539">
        <v>1296</v>
      </c>
      <c r="C126" s="998"/>
      <c r="D126" s="761">
        <f t="shared" si="8"/>
        <v>1296</v>
      </c>
      <c r="E126" s="856">
        <v>4843.9099039417033</v>
      </c>
      <c r="F126" s="999">
        <v>164.15874897578493</v>
      </c>
      <c r="G126" s="1000">
        <f t="shared" si="9"/>
        <v>5008.0686529174882</v>
      </c>
      <c r="H126" s="910">
        <v>2552.8931464856582</v>
      </c>
      <c r="I126" s="911">
        <v>56.793518721261222</v>
      </c>
      <c r="J126" s="1000">
        <f t="shared" si="17"/>
        <v>2609.6866652069193</v>
      </c>
      <c r="K126" s="548">
        <v>61.982142857142854</v>
      </c>
      <c r="L126" s="540">
        <v>3.0178571428571428</v>
      </c>
      <c r="M126" s="1001">
        <f t="shared" si="10"/>
        <v>65</v>
      </c>
      <c r="N126" s="548">
        <v>4</v>
      </c>
      <c r="O126" s="540">
        <v>0</v>
      </c>
      <c r="P126" s="1001">
        <f t="shared" si="11"/>
        <v>4</v>
      </c>
      <c r="Q126" s="548">
        <v>508.80182232346243</v>
      </c>
      <c r="R126" s="1002">
        <v>15.66742596810934</v>
      </c>
      <c r="S126" s="1000">
        <f t="shared" si="12"/>
        <v>524.46924829157172</v>
      </c>
      <c r="T126" s="1001">
        <f t="shared" si="13"/>
        <v>9507.22456641598</v>
      </c>
      <c r="V126" s="997">
        <f t="shared" si="18"/>
        <v>0</v>
      </c>
      <c r="W126" s="1002">
        <v>0</v>
      </c>
      <c r="X126" s="1003">
        <v>0</v>
      </c>
      <c r="Y126" s="68"/>
      <c r="Z126" s="1004">
        <f t="shared" si="19"/>
        <v>314</v>
      </c>
      <c r="AA126" s="1005">
        <v>0</v>
      </c>
      <c r="AB126" s="1107">
        <f t="shared" si="14"/>
        <v>314</v>
      </c>
      <c r="AD126" s="859" t="str">
        <f t="shared" si="15"/>
        <v>Indian River State College</v>
      </c>
      <c r="AE126" s="1006">
        <v>281</v>
      </c>
      <c r="AF126" s="1006">
        <v>33</v>
      </c>
      <c r="AG126" s="1000">
        <f t="shared" si="16"/>
        <v>314</v>
      </c>
    </row>
    <row r="127" spans="1:50" ht="25.35" customHeight="1">
      <c r="A127" s="859" t="str">
        <f t="shared" si="7"/>
        <v>Florida Gateway College</v>
      </c>
      <c r="B127" s="539">
        <v>139</v>
      </c>
      <c r="C127" s="998"/>
      <c r="D127" s="761">
        <f t="shared" si="8"/>
        <v>139</v>
      </c>
      <c r="E127" s="856">
        <v>972.04543603941056</v>
      </c>
      <c r="F127" s="999">
        <v>19.259017995277258</v>
      </c>
      <c r="G127" s="1000">
        <f t="shared" si="9"/>
        <v>991.30445403468786</v>
      </c>
      <c r="H127" s="910">
        <v>438.39523551705469</v>
      </c>
      <c r="I127" s="911">
        <v>8.04981050351922</v>
      </c>
      <c r="J127" s="1000">
        <f t="shared" si="17"/>
        <v>446.4450460205739</v>
      </c>
      <c r="K127" s="548">
        <v>41.75722543352601</v>
      </c>
      <c r="L127" s="540">
        <v>1.2427745664739884</v>
      </c>
      <c r="M127" s="1001">
        <f t="shared" si="10"/>
        <v>43</v>
      </c>
      <c r="N127" s="548">
        <v>13</v>
      </c>
      <c r="O127" s="540">
        <v>0</v>
      </c>
      <c r="P127" s="1001">
        <f t="shared" si="11"/>
        <v>13</v>
      </c>
      <c r="Q127" s="548">
        <v>365.23071504050722</v>
      </c>
      <c r="R127" s="1002">
        <v>2.3395561817541388</v>
      </c>
      <c r="S127" s="1000">
        <f t="shared" si="12"/>
        <v>367.57027122226134</v>
      </c>
      <c r="T127" s="1001">
        <f t="shared" si="13"/>
        <v>2000.3197712775232</v>
      </c>
      <c r="V127" s="997">
        <f t="shared" si="18"/>
        <v>0</v>
      </c>
      <c r="W127" s="1002">
        <v>0</v>
      </c>
      <c r="X127" s="1003">
        <v>0</v>
      </c>
      <c r="Y127" s="68"/>
      <c r="Z127" s="1004">
        <f t="shared" si="19"/>
        <v>8</v>
      </c>
      <c r="AA127" s="1005">
        <v>0</v>
      </c>
      <c r="AB127" s="1107">
        <f t="shared" si="14"/>
        <v>8</v>
      </c>
      <c r="AD127" s="859" t="str">
        <f t="shared" si="15"/>
        <v>Florida Gateway College</v>
      </c>
      <c r="AE127" s="1006">
        <v>7</v>
      </c>
      <c r="AF127" s="1006">
        <v>1</v>
      </c>
      <c r="AG127" s="1000">
        <f t="shared" si="16"/>
        <v>8</v>
      </c>
    </row>
    <row r="128" spans="1:50" ht="25.35" customHeight="1">
      <c r="A128" s="859" t="str">
        <f t="shared" si="7"/>
        <v>Lake-Sumter State College</v>
      </c>
      <c r="B128" s="539">
        <v>326</v>
      </c>
      <c r="C128" s="998"/>
      <c r="D128" s="761">
        <f t="shared" si="8"/>
        <v>326</v>
      </c>
      <c r="E128" s="856">
        <v>2770.4267466217602</v>
      </c>
      <c r="F128" s="999">
        <v>57.403047603400829</v>
      </c>
      <c r="G128" s="1000">
        <f t="shared" si="9"/>
        <v>2827.8297942251611</v>
      </c>
      <c r="H128" s="910">
        <v>739.41467540706276</v>
      </c>
      <c r="I128" s="911">
        <v>11.243814759991542</v>
      </c>
      <c r="J128" s="1000">
        <f t="shared" si="17"/>
        <v>750.65849016705431</v>
      </c>
      <c r="K128" s="548">
        <v>88.874226804123708</v>
      </c>
      <c r="L128" s="540">
        <v>7.1257731958762882</v>
      </c>
      <c r="M128" s="1001">
        <f t="shared" si="10"/>
        <v>96</v>
      </c>
      <c r="N128" s="548">
        <v>0</v>
      </c>
      <c r="O128" s="540">
        <v>0</v>
      </c>
      <c r="P128" s="1001">
        <f t="shared" si="11"/>
        <v>0</v>
      </c>
      <c r="Q128" s="548">
        <v>0</v>
      </c>
      <c r="R128" s="1002">
        <v>0</v>
      </c>
      <c r="S128" s="1000">
        <f t="shared" si="12"/>
        <v>0</v>
      </c>
      <c r="T128" s="1001">
        <f t="shared" si="13"/>
        <v>4000.4882843922155</v>
      </c>
      <c r="V128" s="997">
        <f t="shared" si="18"/>
        <v>0</v>
      </c>
      <c r="W128" s="1002">
        <v>0</v>
      </c>
      <c r="X128" s="1003">
        <v>0</v>
      </c>
      <c r="Y128" s="68"/>
      <c r="Z128" s="1004">
        <f t="shared" si="19"/>
        <v>0</v>
      </c>
      <c r="AA128" s="1005">
        <v>0</v>
      </c>
      <c r="AB128" s="1107">
        <f t="shared" si="14"/>
        <v>0</v>
      </c>
      <c r="AD128" s="859" t="str">
        <f t="shared" si="15"/>
        <v>Lake-Sumter State College</v>
      </c>
      <c r="AE128" s="1006">
        <v>0</v>
      </c>
      <c r="AF128" s="1006">
        <v>0</v>
      </c>
      <c r="AG128" s="1000">
        <f t="shared" si="16"/>
        <v>0</v>
      </c>
    </row>
    <row r="129" spans="1:44" ht="25.35" customHeight="1">
      <c r="A129" s="859" t="str">
        <f t="shared" si="7"/>
        <v>State College of Florida, Manatee-Sarasota</v>
      </c>
      <c r="B129" s="539">
        <v>540</v>
      </c>
      <c r="C129" s="998"/>
      <c r="D129" s="761">
        <f t="shared" si="8"/>
        <v>540</v>
      </c>
      <c r="E129" s="856">
        <v>4503.3959543885703</v>
      </c>
      <c r="F129" s="999">
        <v>243.45799292236444</v>
      </c>
      <c r="G129" s="1000">
        <f t="shared" si="9"/>
        <v>4746.8539473109349</v>
      </c>
      <c r="H129" s="910">
        <v>595.90187069248441</v>
      </c>
      <c r="I129" s="911">
        <v>29.070889399409257</v>
      </c>
      <c r="J129" s="1000">
        <f t="shared" si="17"/>
        <v>624.97276009189363</v>
      </c>
      <c r="K129" s="548">
        <v>130.37872070930968</v>
      </c>
      <c r="L129" s="540">
        <v>17.62127929069031</v>
      </c>
      <c r="M129" s="1001">
        <f t="shared" si="10"/>
        <v>148</v>
      </c>
      <c r="N129" s="548">
        <v>5</v>
      </c>
      <c r="O129" s="540">
        <v>0</v>
      </c>
      <c r="P129" s="1001">
        <f t="shared" si="11"/>
        <v>5</v>
      </c>
      <c r="Q129" s="548">
        <v>0</v>
      </c>
      <c r="R129" s="1002">
        <v>0</v>
      </c>
      <c r="S129" s="1000">
        <f t="shared" si="12"/>
        <v>0</v>
      </c>
      <c r="T129" s="1001">
        <f t="shared" si="13"/>
        <v>6064.8267074028281</v>
      </c>
      <c r="V129" s="997">
        <f t="shared" si="18"/>
        <v>0</v>
      </c>
      <c r="W129" s="1002">
        <v>0</v>
      </c>
      <c r="X129" s="1003">
        <v>0</v>
      </c>
      <c r="Y129" s="68"/>
      <c r="Z129" s="1004">
        <f t="shared" si="19"/>
        <v>0</v>
      </c>
      <c r="AA129" s="1005">
        <v>0</v>
      </c>
      <c r="AB129" s="1107">
        <f t="shared" si="14"/>
        <v>0</v>
      </c>
      <c r="AD129" s="859" t="str">
        <f t="shared" si="15"/>
        <v>State College of Florida, Manatee-Sarasota</v>
      </c>
      <c r="AE129" s="1006">
        <v>0</v>
      </c>
      <c r="AF129" s="1006">
        <v>0</v>
      </c>
      <c r="AG129" s="1000">
        <f t="shared" si="16"/>
        <v>0</v>
      </c>
    </row>
    <row r="130" spans="1:44" ht="25.35" customHeight="1">
      <c r="A130" s="859" t="str">
        <f t="shared" si="7"/>
        <v>Miami Dade College</v>
      </c>
      <c r="B130" s="539">
        <v>2684</v>
      </c>
      <c r="C130" s="998"/>
      <c r="D130" s="761">
        <f t="shared" si="8"/>
        <v>2684</v>
      </c>
      <c r="E130" s="856">
        <v>32811.096035643328</v>
      </c>
      <c r="F130" s="999">
        <v>1708.0520363343987</v>
      </c>
      <c r="G130" s="1000">
        <f t="shared" si="9"/>
        <v>34519.148071977725</v>
      </c>
      <c r="H130" s="910">
        <v>4800.2542313117065</v>
      </c>
      <c r="I130" s="911">
        <v>228.85987306064882</v>
      </c>
      <c r="J130" s="1000">
        <f t="shared" si="17"/>
        <v>5029.1141043723555</v>
      </c>
      <c r="K130" s="548">
        <v>1205.3644486856945</v>
      </c>
      <c r="L130" s="540">
        <v>108.63555131430553</v>
      </c>
      <c r="M130" s="1001">
        <f t="shared" si="10"/>
        <v>1314</v>
      </c>
      <c r="N130" s="548">
        <v>108.94827586206897</v>
      </c>
      <c r="O130" s="540">
        <v>5.1724137931034489E-2</v>
      </c>
      <c r="P130" s="1001">
        <f t="shared" si="11"/>
        <v>109</v>
      </c>
      <c r="Q130" s="548">
        <v>749.32402148887184</v>
      </c>
      <c r="R130" s="1002">
        <v>36.675978511128164</v>
      </c>
      <c r="S130" s="1000">
        <f t="shared" si="12"/>
        <v>786</v>
      </c>
      <c r="T130" s="1001">
        <f t="shared" si="13"/>
        <v>44441.262176350079</v>
      </c>
      <c r="V130" s="997">
        <f t="shared" si="18"/>
        <v>0</v>
      </c>
      <c r="W130" s="1002">
        <v>0</v>
      </c>
      <c r="X130" s="1003">
        <v>0</v>
      </c>
      <c r="Y130" s="68"/>
      <c r="Z130" s="1004">
        <f t="shared" si="19"/>
        <v>14.229783207157197</v>
      </c>
      <c r="AA130" s="1005">
        <v>2427.7702167928428</v>
      </c>
      <c r="AB130" s="1107">
        <f t="shared" si="14"/>
        <v>2442</v>
      </c>
      <c r="AD130" s="859" t="str">
        <f t="shared" si="15"/>
        <v>Miami Dade College</v>
      </c>
      <c r="AE130" s="1006">
        <v>2441</v>
      </c>
      <c r="AF130" s="1006">
        <v>1</v>
      </c>
      <c r="AG130" s="1000">
        <f t="shared" si="16"/>
        <v>2442</v>
      </c>
    </row>
    <row r="131" spans="1:44" ht="25.35" customHeight="1">
      <c r="A131" s="859" t="str">
        <f t="shared" si="7"/>
        <v>North Florida College</v>
      </c>
      <c r="B131" s="539">
        <v>41</v>
      </c>
      <c r="C131" s="998"/>
      <c r="D131" s="761">
        <f t="shared" si="8"/>
        <v>41</v>
      </c>
      <c r="E131" s="856">
        <v>437.91369935099107</v>
      </c>
      <c r="F131" s="999">
        <v>17.798456411155936</v>
      </c>
      <c r="G131" s="1000">
        <f t="shared" si="9"/>
        <v>455.71215576214701</v>
      </c>
      <c r="H131" s="910">
        <v>94.950131233595798</v>
      </c>
      <c r="I131" s="911">
        <v>12.866141732283467</v>
      </c>
      <c r="J131" s="1000">
        <f t="shared" si="17"/>
        <v>107.81627296587926</v>
      </c>
      <c r="K131" s="548">
        <v>10.632911392405063</v>
      </c>
      <c r="L131" s="540">
        <v>1.3670886075949367</v>
      </c>
      <c r="M131" s="1001">
        <f t="shared" si="10"/>
        <v>12</v>
      </c>
      <c r="N131" s="548">
        <v>0</v>
      </c>
      <c r="O131" s="540">
        <v>0</v>
      </c>
      <c r="P131" s="1001">
        <f t="shared" si="11"/>
        <v>0</v>
      </c>
      <c r="Q131" s="548">
        <v>89.716269841269835</v>
      </c>
      <c r="R131" s="1002">
        <v>8.174603174603174</v>
      </c>
      <c r="S131" s="1000">
        <f t="shared" si="12"/>
        <v>97.890873015873012</v>
      </c>
      <c r="T131" s="1001">
        <f t="shared" si="13"/>
        <v>714.41930174389927</v>
      </c>
      <c r="V131" s="997">
        <f t="shared" si="18"/>
        <v>0</v>
      </c>
      <c r="W131" s="1002">
        <v>0</v>
      </c>
      <c r="X131" s="1003">
        <v>0</v>
      </c>
      <c r="Y131" s="68"/>
      <c r="Z131" s="1004">
        <f t="shared" si="19"/>
        <v>0</v>
      </c>
      <c r="AA131" s="1005">
        <v>0</v>
      </c>
      <c r="AB131" s="1107">
        <f t="shared" si="14"/>
        <v>0</v>
      </c>
      <c r="AD131" s="859" t="str">
        <f t="shared" si="15"/>
        <v>North Florida College</v>
      </c>
      <c r="AE131" s="1006">
        <v>0</v>
      </c>
      <c r="AF131" s="1006">
        <v>0</v>
      </c>
      <c r="AG131" s="1000">
        <f t="shared" si="16"/>
        <v>0</v>
      </c>
    </row>
    <row r="132" spans="1:44" ht="25.35" customHeight="1">
      <c r="A132" s="859" t="str">
        <f t="shared" si="7"/>
        <v>Northwest Florida State College</v>
      </c>
      <c r="B132" s="539">
        <v>269</v>
      </c>
      <c r="C132" s="998"/>
      <c r="D132" s="761">
        <f t="shared" si="8"/>
        <v>269</v>
      </c>
      <c r="E132" s="856">
        <v>1484.0341370144101</v>
      </c>
      <c r="F132" s="999">
        <v>142.8721727370237</v>
      </c>
      <c r="G132" s="1000">
        <f t="shared" si="9"/>
        <v>1626.9063097514338</v>
      </c>
      <c r="H132" s="910">
        <v>573.16556047197639</v>
      </c>
      <c r="I132" s="911">
        <v>47.271386430678469</v>
      </c>
      <c r="J132" s="1000">
        <f t="shared" si="17"/>
        <v>620.43694690265488</v>
      </c>
      <c r="K132" s="548">
        <v>41.11350293542074</v>
      </c>
      <c r="L132" s="540">
        <v>5.886497064579256</v>
      </c>
      <c r="M132" s="1001">
        <f t="shared" si="10"/>
        <v>47</v>
      </c>
      <c r="N132" s="548">
        <v>0</v>
      </c>
      <c r="O132" s="540">
        <v>0</v>
      </c>
      <c r="P132" s="1001">
        <f t="shared" si="11"/>
        <v>0</v>
      </c>
      <c r="Q132" s="548">
        <v>220.32372093023255</v>
      </c>
      <c r="R132" s="1002">
        <v>3.9944186046511629</v>
      </c>
      <c r="S132" s="1000">
        <f t="shared" si="12"/>
        <v>224.31813953488373</v>
      </c>
      <c r="T132" s="1001">
        <f t="shared" si="13"/>
        <v>2787.6613961889725</v>
      </c>
      <c r="V132" s="997">
        <f t="shared" si="18"/>
        <v>0</v>
      </c>
      <c r="W132" s="1002">
        <v>0</v>
      </c>
      <c r="X132" s="1003">
        <v>0</v>
      </c>
      <c r="Y132" s="68"/>
      <c r="Z132" s="1004">
        <f t="shared" si="19"/>
        <v>0</v>
      </c>
      <c r="AA132" s="1005">
        <v>0</v>
      </c>
      <c r="AB132" s="1107">
        <f t="shared" si="14"/>
        <v>0</v>
      </c>
      <c r="AD132" s="859" t="str">
        <f t="shared" si="15"/>
        <v>Northwest Florida State College</v>
      </c>
      <c r="AE132" s="1006">
        <v>0</v>
      </c>
      <c r="AF132" s="1006">
        <v>0</v>
      </c>
      <c r="AG132" s="1000">
        <f t="shared" si="16"/>
        <v>0</v>
      </c>
    </row>
    <row r="133" spans="1:44" ht="25.35" customHeight="1">
      <c r="A133" s="859" t="str">
        <f t="shared" si="7"/>
        <v>Palm Beach State College</v>
      </c>
      <c r="B133" s="539">
        <v>984</v>
      </c>
      <c r="C133" s="998"/>
      <c r="D133" s="761">
        <f t="shared" si="8"/>
        <v>984</v>
      </c>
      <c r="E133" s="856">
        <v>12864.349806224876</v>
      </c>
      <c r="F133" s="999">
        <v>627.3119418433912</v>
      </c>
      <c r="G133" s="1000">
        <f t="shared" si="9"/>
        <v>13491.661748068267</v>
      </c>
      <c r="H133" s="910">
        <v>1513.727305976154</v>
      </c>
      <c r="I133" s="911">
        <v>40.026991441737991</v>
      </c>
      <c r="J133" s="1000">
        <f t="shared" si="17"/>
        <v>1553.7542974178918</v>
      </c>
      <c r="K133" s="548">
        <v>436.05345464884846</v>
      </c>
      <c r="L133" s="540">
        <v>43.946545351151549</v>
      </c>
      <c r="M133" s="1001">
        <f t="shared" si="10"/>
        <v>480</v>
      </c>
      <c r="N133" s="548">
        <v>16</v>
      </c>
      <c r="O133" s="540">
        <v>0</v>
      </c>
      <c r="P133" s="1001">
        <f t="shared" si="11"/>
        <v>16</v>
      </c>
      <c r="Q133" s="548">
        <v>821.02277580071177</v>
      </c>
      <c r="R133" s="1002">
        <v>22.977224199288258</v>
      </c>
      <c r="S133" s="1000">
        <f t="shared" si="12"/>
        <v>844</v>
      </c>
      <c r="T133" s="1001">
        <f t="shared" si="13"/>
        <v>17369.416045486159</v>
      </c>
      <c r="V133" s="997">
        <f t="shared" si="18"/>
        <v>0</v>
      </c>
      <c r="W133" s="1002">
        <v>0</v>
      </c>
      <c r="X133" s="1003">
        <v>0</v>
      </c>
      <c r="Y133" s="68"/>
      <c r="Z133" s="1004">
        <f t="shared" si="19"/>
        <v>0</v>
      </c>
      <c r="AA133" s="1005">
        <v>0</v>
      </c>
      <c r="AB133" s="1107">
        <f t="shared" si="14"/>
        <v>0</v>
      </c>
      <c r="AD133" s="859" t="str">
        <f t="shared" si="15"/>
        <v>Palm Beach State College</v>
      </c>
      <c r="AE133" s="1006">
        <v>0</v>
      </c>
      <c r="AF133" s="1006">
        <v>0</v>
      </c>
      <c r="AG133" s="1000">
        <f t="shared" si="16"/>
        <v>0</v>
      </c>
    </row>
    <row r="134" spans="1:44" ht="25.35" customHeight="1">
      <c r="A134" s="859" t="str">
        <f t="shared" si="7"/>
        <v>Pasco-Hernando State College</v>
      </c>
      <c r="B134" s="539">
        <v>226</v>
      </c>
      <c r="C134" s="998"/>
      <c r="D134" s="761">
        <f t="shared" si="8"/>
        <v>226</v>
      </c>
      <c r="E134" s="856">
        <v>3031.9107998018385</v>
      </c>
      <c r="F134" s="999">
        <v>22.13320856498046</v>
      </c>
      <c r="G134" s="1000">
        <f t="shared" si="9"/>
        <v>3054.0440083668191</v>
      </c>
      <c r="H134" s="910">
        <v>1786.3048010656166</v>
      </c>
      <c r="I134" s="911">
        <v>10.992644929634563</v>
      </c>
      <c r="J134" s="1000">
        <f t="shared" si="17"/>
        <v>1797.2974459952511</v>
      </c>
      <c r="K134" s="548">
        <v>135.33588435374151</v>
      </c>
      <c r="L134" s="540">
        <v>3.6641156462585034</v>
      </c>
      <c r="M134" s="1001">
        <f t="shared" si="10"/>
        <v>139</v>
      </c>
      <c r="N134" s="548">
        <v>14</v>
      </c>
      <c r="O134" s="540">
        <v>0</v>
      </c>
      <c r="P134" s="1001">
        <f t="shared" si="11"/>
        <v>14</v>
      </c>
      <c r="Q134" s="548">
        <v>281.87153881071265</v>
      </c>
      <c r="R134" s="1002">
        <v>6.2850658193372659</v>
      </c>
      <c r="S134" s="1000">
        <f t="shared" si="12"/>
        <v>288.15660463004991</v>
      </c>
      <c r="T134" s="1001">
        <f t="shared" si="13"/>
        <v>5518.4980589921197</v>
      </c>
      <c r="V134" s="997">
        <f t="shared" si="18"/>
        <v>0</v>
      </c>
      <c r="W134" s="1002">
        <v>0</v>
      </c>
      <c r="X134" s="1003">
        <v>0</v>
      </c>
      <c r="Y134" s="68"/>
      <c r="Z134" s="1004">
        <f t="shared" si="19"/>
        <v>0</v>
      </c>
      <c r="AA134" s="1005">
        <v>0</v>
      </c>
      <c r="AB134" s="1107">
        <f t="shared" si="14"/>
        <v>0</v>
      </c>
      <c r="AD134" s="859" t="str">
        <f t="shared" si="15"/>
        <v>Pasco-Hernando State College</v>
      </c>
      <c r="AE134" s="1006">
        <v>0</v>
      </c>
      <c r="AF134" s="1006">
        <v>0</v>
      </c>
      <c r="AG134" s="1000">
        <f t="shared" si="16"/>
        <v>0</v>
      </c>
    </row>
    <row r="135" spans="1:44" ht="25.35" customHeight="1">
      <c r="A135" s="859" t="str">
        <f t="shared" si="7"/>
        <v>Pensacola State College</v>
      </c>
      <c r="B135" s="539">
        <v>397</v>
      </c>
      <c r="C135" s="998"/>
      <c r="D135" s="761">
        <f t="shared" si="8"/>
        <v>397</v>
      </c>
      <c r="E135" s="856">
        <v>3777.5502279250377</v>
      </c>
      <c r="F135" s="999">
        <v>163.15178119196355</v>
      </c>
      <c r="G135" s="1000">
        <f t="shared" si="9"/>
        <v>3940.7020091170011</v>
      </c>
      <c r="H135" s="910">
        <v>1487.0686918177364</v>
      </c>
      <c r="I135" s="911">
        <v>39.994512493875547</v>
      </c>
      <c r="J135" s="1000">
        <f t="shared" si="17"/>
        <v>1527.063204311612</v>
      </c>
      <c r="K135" s="548">
        <v>207.79527559055117</v>
      </c>
      <c r="L135" s="540">
        <v>24.204724409448819</v>
      </c>
      <c r="M135" s="1001">
        <f t="shared" si="10"/>
        <v>232</v>
      </c>
      <c r="N135" s="548">
        <v>0</v>
      </c>
      <c r="O135" s="540">
        <v>0</v>
      </c>
      <c r="P135" s="1001">
        <f t="shared" si="11"/>
        <v>0</v>
      </c>
      <c r="Q135" s="548">
        <v>386.85208596713022</v>
      </c>
      <c r="R135" s="1002">
        <v>10.366624525916562</v>
      </c>
      <c r="S135" s="1000">
        <f t="shared" si="12"/>
        <v>397.21871049304679</v>
      </c>
      <c r="T135" s="1001">
        <f t="shared" si="13"/>
        <v>6493.9839239216608</v>
      </c>
      <c r="V135" s="997">
        <f t="shared" si="18"/>
        <v>0</v>
      </c>
      <c r="W135" s="1002">
        <v>0</v>
      </c>
      <c r="X135" s="1003">
        <v>0</v>
      </c>
      <c r="Y135" s="68"/>
      <c r="Z135" s="1004">
        <f t="shared" si="19"/>
        <v>0</v>
      </c>
      <c r="AA135" s="1005">
        <v>0</v>
      </c>
      <c r="AB135" s="1107">
        <f t="shared" si="14"/>
        <v>0</v>
      </c>
      <c r="AD135" s="859" t="str">
        <f t="shared" si="15"/>
        <v>Pensacola State College</v>
      </c>
      <c r="AE135" s="1006">
        <v>0</v>
      </c>
      <c r="AF135" s="1006">
        <v>0</v>
      </c>
      <c r="AG135" s="1000">
        <f t="shared" si="16"/>
        <v>0</v>
      </c>
    </row>
    <row r="136" spans="1:44" ht="25.35" customHeight="1">
      <c r="A136" s="859" t="str">
        <f t="shared" si="7"/>
        <v>Polk State College</v>
      </c>
      <c r="B136" s="539">
        <v>598</v>
      </c>
      <c r="C136" s="998"/>
      <c r="D136" s="761">
        <f t="shared" si="8"/>
        <v>598</v>
      </c>
      <c r="E136" s="856">
        <v>3270.7289465840977</v>
      </c>
      <c r="F136" s="999">
        <v>109.61996224790543</v>
      </c>
      <c r="G136" s="1000">
        <f t="shared" si="9"/>
        <v>3380.348908832003</v>
      </c>
      <c r="H136" s="910">
        <v>1482.6313099041533</v>
      </c>
      <c r="I136" s="911">
        <v>33.569488817891376</v>
      </c>
      <c r="J136" s="1000">
        <f t="shared" si="17"/>
        <v>1516.2007987220447</v>
      </c>
      <c r="K136" s="548">
        <v>90.688282138794079</v>
      </c>
      <c r="L136" s="540">
        <v>16.311717861205917</v>
      </c>
      <c r="M136" s="1001">
        <f t="shared" si="10"/>
        <v>107</v>
      </c>
      <c r="N136" s="548">
        <v>0</v>
      </c>
      <c r="O136" s="540">
        <v>0</v>
      </c>
      <c r="P136" s="1001">
        <f t="shared" si="11"/>
        <v>0</v>
      </c>
      <c r="Q136" s="548">
        <v>162.83748753738783</v>
      </c>
      <c r="R136" s="1002">
        <v>0.16251246261216354</v>
      </c>
      <c r="S136" s="1000">
        <f t="shared" si="12"/>
        <v>163</v>
      </c>
      <c r="T136" s="1001">
        <f t="shared" si="13"/>
        <v>5764.5497075540479</v>
      </c>
      <c r="V136" s="997">
        <f t="shared" si="18"/>
        <v>0</v>
      </c>
      <c r="W136" s="1002">
        <v>0</v>
      </c>
      <c r="X136" s="1003">
        <v>0</v>
      </c>
      <c r="Y136" s="68"/>
      <c r="Z136" s="1004">
        <f t="shared" si="19"/>
        <v>0</v>
      </c>
      <c r="AA136" s="1005">
        <v>0</v>
      </c>
      <c r="AB136" s="1107">
        <f t="shared" si="14"/>
        <v>0</v>
      </c>
      <c r="AD136" s="859" t="str">
        <f t="shared" si="15"/>
        <v>Polk State College</v>
      </c>
      <c r="AE136" s="1006">
        <v>0</v>
      </c>
      <c r="AF136" s="1006">
        <v>0</v>
      </c>
      <c r="AG136" s="1000">
        <f t="shared" si="16"/>
        <v>0</v>
      </c>
    </row>
    <row r="137" spans="1:44" ht="25.35" customHeight="1">
      <c r="A137" s="859" t="str">
        <f t="shared" si="7"/>
        <v>St. Johns River State College</v>
      </c>
      <c r="B137" s="539">
        <v>258</v>
      </c>
      <c r="C137" s="998"/>
      <c r="D137" s="761">
        <f t="shared" si="8"/>
        <v>258</v>
      </c>
      <c r="E137" s="856">
        <v>2321.8601100656842</v>
      </c>
      <c r="F137" s="999">
        <v>70.206284395526353</v>
      </c>
      <c r="G137" s="1000">
        <f t="shared" si="9"/>
        <v>2392.0663944612106</v>
      </c>
      <c r="H137" s="910">
        <v>787.84250474383305</v>
      </c>
      <c r="I137" s="911">
        <v>12.924098671726757</v>
      </c>
      <c r="J137" s="1000">
        <f t="shared" si="17"/>
        <v>800.76660341555976</v>
      </c>
      <c r="K137" s="548">
        <v>19.5</v>
      </c>
      <c r="L137" s="540">
        <v>0.5</v>
      </c>
      <c r="M137" s="1001">
        <f t="shared" si="10"/>
        <v>20</v>
      </c>
      <c r="N137" s="548">
        <v>4.931034482758621</v>
      </c>
      <c r="O137" s="540">
        <v>6.8965517241379309E-2</v>
      </c>
      <c r="P137" s="1001">
        <f t="shared" si="11"/>
        <v>5</v>
      </c>
      <c r="Q137" s="548">
        <v>128.6935866983373</v>
      </c>
      <c r="R137" s="1002">
        <v>0.30641330166270786</v>
      </c>
      <c r="S137" s="1000">
        <f t="shared" si="12"/>
        <v>129</v>
      </c>
      <c r="T137" s="1001">
        <f t="shared" si="13"/>
        <v>3604.8329978767706</v>
      </c>
      <c r="V137" s="997">
        <f t="shared" si="18"/>
        <v>0</v>
      </c>
      <c r="W137" s="1002">
        <v>0</v>
      </c>
      <c r="X137" s="1003">
        <v>0</v>
      </c>
      <c r="Y137" s="68"/>
      <c r="Z137" s="1004">
        <f t="shared" si="19"/>
        <v>20</v>
      </c>
      <c r="AA137" s="1005">
        <v>0</v>
      </c>
      <c r="AB137" s="1107">
        <f t="shared" si="14"/>
        <v>20</v>
      </c>
      <c r="AD137" s="859" t="str">
        <f t="shared" si="15"/>
        <v>St. Johns River State College</v>
      </c>
      <c r="AE137" s="1006">
        <v>13</v>
      </c>
      <c r="AF137" s="1006">
        <v>7</v>
      </c>
      <c r="AG137" s="1000">
        <f t="shared" si="16"/>
        <v>20</v>
      </c>
    </row>
    <row r="138" spans="1:44" ht="25.35" customHeight="1">
      <c r="A138" s="859" t="str">
        <f t="shared" si="7"/>
        <v>St. Petersburg College</v>
      </c>
      <c r="B138" s="539">
        <v>2424</v>
      </c>
      <c r="C138" s="998"/>
      <c r="D138" s="761">
        <f t="shared" si="8"/>
        <v>2424</v>
      </c>
      <c r="E138" s="856">
        <v>6903.662039302546</v>
      </c>
      <c r="F138" s="999">
        <v>318.84271254539368</v>
      </c>
      <c r="G138" s="1000">
        <f t="shared" si="9"/>
        <v>7222.5047518479396</v>
      </c>
      <c r="H138" s="910">
        <v>3832.4361090272564</v>
      </c>
      <c r="I138" s="911">
        <v>143.21800450112528</v>
      </c>
      <c r="J138" s="1000">
        <f t="shared" si="17"/>
        <v>3975.6541135283815</v>
      </c>
      <c r="K138" s="548">
        <v>321.94940566900334</v>
      </c>
      <c r="L138" s="540">
        <v>40.050594330996645</v>
      </c>
      <c r="M138" s="1001">
        <f t="shared" si="10"/>
        <v>362</v>
      </c>
      <c r="N138" s="548">
        <v>0</v>
      </c>
      <c r="O138" s="540">
        <v>0</v>
      </c>
      <c r="P138" s="1001">
        <f t="shared" si="11"/>
        <v>0</v>
      </c>
      <c r="Q138" s="548">
        <v>126.30788026878436</v>
      </c>
      <c r="R138" s="1002">
        <v>62.692119731215641</v>
      </c>
      <c r="S138" s="1000">
        <f t="shared" si="12"/>
        <v>189</v>
      </c>
      <c r="T138" s="1001">
        <f t="shared" si="13"/>
        <v>14173.158865376321</v>
      </c>
      <c r="V138" s="997">
        <f t="shared" si="18"/>
        <v>0</v>
      </c>
      <c r="W138" s="1002">
        <v>0</v>
      </c>
      <c r="X138" s="1003">
        <v>0</v>
      </c>
      <c r="Y138" s="68"/>
      <c r="Z138" s="1004">
        <f t="shared" si="19"/>
        <v>0</v>
      </c>
      <c r="AA138" s="1005">
        <v>0</v>
      </c>
      <c r="AB138" s="1107">
        <f t="shared" si="14"/>
        <v>0</v>
      </c>
      <c r="AD138" s="859" t="str">
        <f t="shared" si="15"/>
        <v>St. Petersburg College</v>
      </c>
      <c r="AE138" s="1006">
        <v>0</v>
      </c>
      <c r="AF138" s="1006">
        <v>0</v>
      </c>
      <c r="AG138" s="1000">
        <f t="shared" si="16"/>
        <v>0</v>
      </c>
    </row>
    <row r="139" spans="1:44" ht="25.35" customHeight="1">
      <c r="A139" s="859" t="str">
        <f t="shared" si="7"/>
        <v>Santa Fe College</v>
      </c>
      <c r="B139" s="539">
        <v>507</v>
      </c>
      <c r="C139" s="998"/>
      <c r="D139" s="761">
        <f t="shared" si="8"/>
        <v>507</v>
      </c>
      <c r="E139" s="856">
        <v>5847.3813979632323</v>
      </c>
      <c r="F139" s="999">
        <v>487.99824758629813</v>
      </c>
      <c r="G139" s="1000">
        <f t="shared" si="9"/>
        <v>6335.3796455495303</v>
      </c>
      <c r="H139" s="910">
        <v>2342.3378048780487</v>
      </c>
      <c r="I139" s="911">
        <v>129.20609756097562</v>
      </c>
      <c r="J139" s="1000">
        <f t="shared" si="17"/>
        <v>2471.5439024390244</v>
      </c>
      <c r="K139" s="548">
        <v>203.43056160208968</v>
      </c>
      <c r="L139" s="540">
        <v>36.569438397910318</v>
      </c>
      <c r="M139" s="1001">
        <f t="shared" si="10"/>
        <v>240</v>
      </c>
      <c r="N139" s="548">
        <v>0</v>
      </c>
      <c r="O139" s="540">
        <v>0</v>
      </c>
      <c r="P139" s="1001">
        <f t="shared" si="11"/>
        <v>0</v>
      </c>
      <c r="Q139" s="548">
        <v>251.58134065072522</v>
      </c>
      <c r="R139" s="1002">
        <v>7.9686397491179939</v>
      </c>
      <c r="S139" s="1000">
        <f t="shared" si="12"/>
        <v>259.54998039984321</v>
      </c>
      <c r="T139" s="1001">
        <f t="shared" si="13"/>
        <v>9813.4735283883965</v>
      </c>
      <c r="V139" s="997">
        <f t="shared" si="18"/>
        <v>3</v>
      </c>
      <c r="W139" s="1002">
        <v>0</v>
      </c>
      <c r="X139" s="1003">
        <v>3</v>
      </c>
      <c r="Y139" s="68"/>
      <c r="Z139" s="1004">
        <f t="shared" si="19"/>
        <v>21.863694267515925</v>
      </c>
      <c r="AA139" s="1005">
        <v>86.136305732484075</v>
      </c>
      <c r="AB139" s="1107">
        <f t="shared" si="14"/>
        <v>108</v>
      </c>
      <c r="AD139" s="859" t="str">
        <f t="shared" si="15"/>
        <v>Santa Fe College</v>
      </c>
      <c r="AE139" s="1006">
        <v>99</v>
      </c>
      <c r="AF139" s="1006">
        <v>9</v>
      </c>
      <c r="AG139" s="1000">
        <f t="shared" si="16"/>
        <v>108</v>
      </c>
    </row>
    <row r="140" spans="1:44" ht="25.35" customHeight="1">
      <c r="A140" s="859" t="str">
        <f t="shared" si="7"/>
        <v>Seminole State College of Florida</v>
      </c>
      <c r="B140" s="539">
        <v>1059</v>
      </c>
      <c r="C140" s="998"/>
      <c r="D140" s="761">
        <f t="shared" si="8"/>
        <v>1059</v>
      </c>
      <c r="E140" s="856">
        <v>5897.2657185101743</v>
      </c>
      <c r="F140" s="999">
        <v>145.93114130817435</v>
      </c>
      <c r="G140" s="1000">
        <f t="shared" si="9"/>
        <v>6043.1968598183485</v>
      </c>
      <c r="H140" s="910">
        <v>2461.1250515579891</v>
      </c>
      <c r="I140" s="911">
        <v>128.23997900183736</v>
      </c>
      <c r="J140" s="1000">
        <f t="shared" si="17"/>
        <v>2589.3650305598267</v>
      </c>
      <c r="K140" s="548">
        <v>158.24468085106383</v>
      </c>
      <c r="L140" s="540">
        <v>11.755319148936174</v>
      </c>
      <c r="M140" s="1001">
        <f t="shared" si="10"/>
        <v>170</v>
      </c>
      <c r="N140" s="548">
        <v>57</v>
      </c>
      <c r="O140" s="540">
        <v>0</v>
      </c>
      <c r="P140" s="1001">
        <f t="shared" si="11"/>
        <v>57</v>
      </c>
      <c r="Q140" s="548">
        <v>267.62107503991484</v>
      </c>
      <c r="R140" s="1002">
        <v>22.378924960085151</v>
      </c>
      <c r="S140" s="1000">
        <f t="shared" si="12"/>
        <v>290</v>
      </c>
      <c r="T140" s="1001">
        <f t="shared" si="13"/>
        <v>10208.561890378176</v>
      </c>
      <c r="V140" s="997">
        <f t="shared" si="18"/>
        <v>0</v>
      </c>
      <c r="W140" s="1002">
        <v>15</v>
      </c>
      <c r="X140" s="1003">
        <v>15</v>
      </c>
      <c r="Y140" s="68"/>
      <c r="Z140" s="1004">
        <f t="shared" si="19"/>
        <v>32.806472491909403</v>
      </c>
      <c r="AA140" s="1005">
        <v>268.1935275080906</v>
      </c>
      <c r="AB140" s="1107">
        <f t="shared" si="14"/>
        <v>301</v>
      </c>
      <c r="AD140" s="859" t="str">
        <f t="shared" si="15"/>
        <v>Seminole State College of Florida</v>
      </c>
      <c r="AE140" s="1006">
        <v>278</v>
      </c>
      <c r="AF140" s="1006">
        <v>23</v>
      </c>
      <c r="AG140" s="1000">
        <f t="shared" si="16"/>
        <v>301</v>
      </c>
    </row>
    <row r="141" spans="1:44" ht="25.35" customHeight="1">
      <c r="A141" s="859" t="str">
        <f t="shared" si="7"/>
        <v>South Florida State College</v>
      </c>
      <c r="B141" s="539">
        <v>112</v>
      </c>
      <c r="C141" s="998"/>
      <c r="D141" s="761">
        <f t="shared" si="8"/>
        <v>112</v>
      </c>
      <c r="E141" s="856">
        <v>1151.7085736255285</v>
      </c>
      <c r="F141" s="999">
        <v>15.235294117647062</v>
      </c>
      <c r="G141" s="1000">
        <f t="shared" si="9"/>
        <v>1166.9438677431756</v>
      </c>
      <c r="H141" s="910">
        <v>317</v>
      </c>
      <c r="I141" s="911">
        <v>0</v>
      </c>
      <c r="J141" s="1000">
        <f t="shared" si="17"/>
        <v>317</v>
      </c>
      <c r="K141" s="548">
        <v>21.681159420289855</v>
      </c>
      <c r="L141" s="540">
        <v>0.31884057971014496</v>
      </c>
      <c r="M141" s="1001">
        <f t="shared" si="10"/>
        <v>22</v>
      </c>
      <c r="N141" s="548">
        <v>0</v>
      </c>
      <c r="O141" s="540">
        <v>0</v>
      </c>
      <c r="P141" s="1001">
        <f t="shared" si="11"/>
        <v>0</v>
      </c>
      <c r="Q141" s="548">
        <v>285.68571428571431</v>
      </c>
      <c r="R141" s="1002">
        <v>0.70714285714285718</v>
      </c>
      <c r="S141" s="1000">
        <f t="shared" si="12"/>
        <v>286.39285714285717</v>
      </c>
      <c r="T141" s="1001">
        <f t="shared" si="13"/>
        <v>1904.3367248860327</v>
      </c>
      <c r="V141" s="997">
        <f t="shared" si="18"/>
        <v>0</v>
      </c>
      <c r="W141" s="1002">
        <v>0</v>
      </c>
      <c r="X141" s="1003">
        <v>0</v>
      </c>
      <c r="Y141" s="68"/>
      <c r="Z141" s="1004">
        <f t="shared" si="19"/>
        <v>45.188577222034468</v>
      </c>
      <c r="AA141" s="1005">
        <v>209.81142277796553</v>
      </c>
      <c r="AB141" s="1107">
        <f t="shared" si="14"/>
        <v>255</v>
      </c>
      <c r="AD141" s="859" t="str">
        <f t="shared" si="15"/>
        <v>South Florida State College</v>
      </c>
      <c r="AE141" s="1006">
        <v>223</v>
      </c>
      <c r="AF141" s="1006">
        <v>32</v>
      </c>
      <c r="AG141" s="1000">
        <f t="shared" si="16"/>
        <v>255</v>
      </c>
    </row>
    <row r="142" spans="1:44" ht="25.35" customHeight="1">
      <c r="A142" s="859" t="str">
        <f t="shared" si="7"/>
        <v>Tallahassee State College</v>
      </c>
      <c r="B142" s="539">
        <v>242</v>
      </c>
      <c r="C142" s="998"/>
      <c r="D142" s="761">
        <f t="shared" si="8"/>
        <v>242</v>
      </c>
      <c r="E142" s="856">
        <v>7438.5604227467211</v>
      </c>
      <c r="F142" s="999">
        <v>287.72654634063412</v>
      </c>
      <c r="G142" s="1000">
        <f t="shared" si="9"/>
        <v>7726.2869690873549</v>
      </c>
      <c r="H142" s="910">
        <v>1771.0762331838566</v>
      </c>
      <c r="I142" s="911">
        <v>59.192825112107627</v>
      </c>
      <c r="J142" s="1000">
        <f t="shared" si="17"/>
        <v>1830.2690582959642</v>
      </c>
      <c r="K142" s="548">
        <v>146.01286764705881</v>
      </c>
      <c r="L142" s="540">
        <v>19.987132352941178</v>
      </c>
      <c r="M142" s="1001">
        <f t="shared" si="10"/>
        <v>166</v>
      </c>
      <c r="N142" s="548">
        <v>0</v>
      </c>
      <c r="O142" s="540">
        <v>0</v>
      </c>
      <c r="P142" s="1001">
        <f t="shared" si="11"/>
        <v>0</v>
      </c>
      <c r="Q142" s="548">
        <v>388.3269789983845</v>
      </c>
      <c r="R142" s="1002">
        <v>3.6730210016155089</v>
      </c>
      <c r="S142" s="1000">
        <f t="shared" si="12"/>
        <v>392</v>
      </c>
      <c r="T142" s="1001">
        <f t="shared" si="13"/>
        <v>10356.55602738332</v>
      </c>
      <c r="V142" s="997">
        <f t="shared" si="18"/>
        <v>0</v>
      </c>
      <c r="W142" s="1002">
        <v>0</v>
      </c>
      <c r="X142" s="1003">
        <v>0</v>
      </c>
      <c r="Y142" s="68"/>
      <c r="Z142" s="1004">
        <f t="shared" si="19"/>
        <v>39.106753812636164</v>
      </c>
      <c r="AA142" s="1005">
        <v>10.893246187363834</v>
      </c>
      <c r="AB142" s="1107">
        <f t="shared" si="14"/>
        <v>50</v>
      </c>
      <c r="AD142" s="859" t="str">
        <f t="shared" si="15"/>
        <v>Tallahassee State College</v>
      </c>
      <c r="AE142" s="1006">
        <v>40</v>
      </c>
      <c r="AF142" s="1006">
        <v>10</v>
      </c>
      <c r="AG142" s="1000">
        <f t="shared" si="16"/>
        <v>50</v>
      </c>
    </row>
    <row r="143" spans="1:44" ht="25.35" customHeight="1" thickBot="1">
      <c r="A143" s="1007" t="str">
        <f t="shared" si="7"/>
        <v>Valencia College</v>
      </c>
      <c r="B143" s="506">
        <v>1474</v>
      </c>
      <c r="C143" s="529"/>
      <c r="D143" s="762">
        <f t="shared" si="8"/>
        <v>1474</v>
      </c>
      <c r="E143" s="857">
        <v>19223.568132625191</v>
      </c>
      <c r="F143" s="530">
        <v>1754.2229230897019</v>
      </c>
      <c r="G143" s="507">
        <f t="shared" si="9"/>
        <v>20977.791055714893</v>
      </c>
      <c r="H143" s="912">
        <v>9777.618441931656</v>
      </c>
      <c r="I143" s="913">
        <v>739.97913412881871</v>
      </c>
      <c r="J143" s="1008">
        <f t="shared" si="17"/>
        <v>10517.597576060474</v>
      </c>
      <c r="K143" s="549">
        <v>744.59271168274381</v>
      </c>
      <c r="L143" s="550">
        <v>190.40728831725616</v>
      </c>
      <c r="M143" s="1009">
        <f t="shared" si="10"/>
        <v>935</v>
      </c>
      <c r="N143" s="549">
        <v>56</v>
      </c>
      <c r="O143" s="550">
        <v>0</v>
      </c>
      <c r="P143" s="1009">
        <f t="shared" si="11"/>
        <v>56</v>
      </c>
      <c r="Q143" s="549">
        <v>237.25537961835161</v>
      </c>
      <c r="R143" s="1010">
        <v>42.744620381648396</v>
      </c>
      <c r="S143" s="507">
        <f t="shared" si="12"/>
        <v>280</v>
      </c>
      <c r="T143" s="1009">
        <f t="shared" si="13"/>
        <v>34240.388631775364</v>
      </c>
      <c r="V143" s="997">
        <f t="shared" si="18"/>
        <v>0</v>
      </c>
      <c r="W143" s="417">
        <v>0</v>
      </c>
      <c r="X143" s="418">
        <v>0</v>
      </c>
      <c r="Y143" s="68"/>
      <c r="Z143" s="1109">
        <f t="shared" si="19"/>
        <v>0</v>
      </c>
      <c r="AA143" s="1011">
        <v>0</v>
      </c>
      <c r="AB143" s="1107">
        <f t="shared" si="14"/>
        <v>0</v>
      </c>
      <c r="AD143" s="1007" t="str">
        <f t="shared" si="15"/>
        <v>Valencia College</v>
      </c>
      <c r="AE143" s="1012">
        <v>0</v>
      </c>
      <c r="AF143" s="1012">
        <v>0</v>
      </c>
      <c r="AG143" s="507">
        <f t="shared" si="16"/>
        <v>0</v>
      </c>
    </row>
    <row r="144" spans="1:44" ht="25.35" customHeight="1" thickBot="1">
      <c r="A144" s="987" t="s">
        <v>52</v>
      </c>
      <c r="B144" s="341">
        <f t="shared" ref="B144" si="20">SUM(B116:B143)</f>
        <v>19736</v>
      </c>
      <c r="C144" s="58"/>
      <c r="D144" s="355">
        <f t="shared" ref="D144:T144" si="21">SUM(D116:D143)</f>
        <v>19736</v>
      </c>
      <c r="E144" s="763">
        <f t="shared" si="21"/>
        <v>169049.70470690675</v>
      </c>
      <c r="F144" s="342">
        <f t="shared" si="21"/>
        <v>9054.0197386403324</v>
      </c>
      <c r="G144" s="355">
        <f t="shared" si="21"/>
        <v>178103.72444554704</v>
      </c>
      <c r="H144" s="365">
        <f t="shared" si="21"/>
        <v>62117.384754370352</v>
      </c>
      <c r="I144" s="342">
        <f t="shared" si="21"/>
        <v>2856.1487297649546</v>
      </c>
      <c r="J144" s="355">
        <f t="shared" si="21"/>
        <v>64973.533484135303</v>
      </c>
      <c r="K144" s="365">
        <f t="shared" si="21"/>
        <v>6938.680092073484</v>
      </c>
      <c r="L144" s="367">
        <f t="shared" si="21"/>
        <v>916.31990792651641</v>
      </c>
      <c r="M144" s="356">
        <f t="shared" si="21"/>
        <v>7855</v>
      </c>
      <c r="N144" s="365">
        <f t="shared" si="21"/>
        <v>319.52396577474013</v>
      </c>
      <c r="O144" s="367">
        <f t="shared" si="21"/>
        <v>1.4760342252598897</v>
      </c>
      <c r="P144" s="356">
        <f t="shared" si="21"/>
        <v>321</v>
      </c>
      <c r="Q144" s="364">
        <f t="shared" si="21"/>
        <v>8462.238577984137</v>
      </c>
      <c r="R144" s="366">
        <f t="shared" si="21"/>
        <v>369.72670636250933</v>
      </c>
      <c r="S144" s="357">
        <f t="shared" si="21"/>
        <v>8831.9652843466483</v>
      </c>
      <c r="T144" s="1013">
        <f t="shared" si="21"/>
        <v>279821.22321402899</v>
      </c>
      <c r="U144" s="59"/>
      <c r="V144" s="358">
        <f t="shared" ref="V144:AB144" si="22">SUM(V116:V143)</f>
        <v>5</v>
      </c>
      <c r="W144" s="365">
        <f t="shared" si="22"/>
        <v>15</v>
      </c>
      <c r="X144" s="363">
        <f t="shared" si="22"/>
        <v>20</v>
      </c>
      <c r="Y144" s="60"/>
      <c r="Z144" s="358">
        <f t="shared" si="22"/>
        <v>1115.5942029442549</v>
      </c>
      <c r="AA144" s="364">
        <f t="shared" si="22"/>
        <v>3195.4057970557451</v>
      </c>
      <c r="AB144" s="360">
        <f t="shared" si="22"/>
        <v>4311</v>
      </c>
      <c r="AC144" s="59"/>
      <c r="AD144" s="987" t="s">
        <v>52</v>
      </c>
      <c r="AE144" s="363">
        <f>SUM(AE116:AE143)</f>
        <v>4137</v>
      </c>
      <c r="AF144" s="363">
        <f>SUM(AF116:AF143)</f>
        <v>174</v>
      </c>
      <c r="AG144" s="355">
        <f>SUM(AG116:AG143)</f>
        <v>4311</v>
      </c>
      <c r="AH144" s="59"/>
      <c r="AI144" s="59"/>
      <c r="AJ144" s="59"/>
      <c r="AK144" s="59"/>
      <c r="AL144" s="59"/>
      <c r="AM144" s="59"/>
      <c r="AN144" s="59"/>
      <c r="AO144" s="59"/>
      <c r="AP144" s="59"/>
      <c r="AQ144" s="59"/>
      <c r="AR144" s="59"/>
    </row>
    <row r="145" spans="1:44" ht="14.1" customHeight="1">
      <c r="A145" s="336"/>
      <c r="B145" s="337"/>
      <c r="C145" s="337"/>
      <c r="D145" s="337"/>
      <c r="E145" s="337"/>
      <c r="F145" s="337"/>
      <c r="G145" s="337"/>
      <c r="H145" s="337"/>
      <c r="I145" s="337"/>
      <c r="J145" s="337"/>
      <c r="K145" s="337"/>
      <c r="L145" s="337"/>
      <c r="M145" s="337"/>
      <c r="N145" s="337"/>
      <c r="O145" s="337"/>
      <c r="P145" s="337"/>
      <c r="Q145" s="337"/>
      <c r="R145" s="337"/>
      <c r="S145" s="337"/>
      <c r="T145" s="337"/>
      <c r="U145" s="59"/>
      <c r="V145" s="338"/>
      <c r="W145" s="338"/>
      <c r="X145" s="338"/>
      <c r="Y145" s="338"/>
      <c r="Z145" s="338"/>
      <c r="AA145" s="338"/>
      <c r="AB145" s="338"/>
      <c r="AC145" s="59"/>
      <c r="AD145" s="336"/>
      <c r="AE145" s="61"/>
      <c r="AF145" s="61"/>
      <c r="AG145" s="61"/>
      <c r="AH145" s="59"/>
      <c r="AI145" s="59"/>
      <c r="AJ145" s="59"/>
      <c r="AK145" s="59"/>
      <c r="AL145" s="59"/>
      <c r="AM145" s="59"/>
      <c r="AN145" s="59"/>
      <c r="AO145" s="59"/>
      <c r="AP145" s="59"/>
      <c r="AQ145" s="59"/>
      <c r="AR145" s="59"/>
    </row>
    <row r="146" spans="1:44">
      <c r="A146" s="10" t="s">
        <v>130</v>
      </c>
      <c r="V146" s="45"/>
      <c r="W146" s="45"/>
      <c r="X146" s="45"/>
      <c r="Y146" s="45"/>
      <c r="Z146" s="45"/>
      <c r="AA146" s="45"/>
      <c r="AB146" s="45"/>
    </row>
    <row r="147" spans="1:44">
      <c r="A147" s="10" t="s">
        <v>131</v>
      </c>
      <c r="V147" s="45"/>
      <c r="W147" s="45"/>
      <c r="X147" s="45"/>
      <c r="Y147" s="45"/>
      <c r="Z147" s="51"/>
      <c r="AA147" s="45"/>
      <c r="AB147" s="45"/>
    </row>
    <row r="148" spans="1:44">
      <c r="A148" s="651" t="s">
        <v>132</v>
      </c>
      <c r="B148" s="651"/>
      <c r="C148" s="651"/>
      <c r="D148" s="651"/>
      <c r="E148" s="20"/>
    </row>
    <row r="149" spans="1:44">
      <c r="A149" s="651" t="s">
        <v>133</v>
      </c>
      <c r="B149" s="651"/>
      <c r="C149" s="651"/>
      <c r="D149" s="651"/>
    </row>
    <row r="150" spans="1:44">
      <c r="A150" s="10" t="s">
        <v>134</v>
      </c>
    </row>
    <row r="152" spans="1:44" ht="54.6" customHeight="1" thickBot="1">
      <c r="A152" s="1110" t="s">
        <v>135</v>
      </c>
      <c r="B152" s="1097"/>
      <c r="C152" s="906"/>
      <c r="D152" s="906"/>
    </row>
    <row r="153" spans="1:44" ht="21.75" thickBot="1">
      <c r="A153" s="53"/>
      <c r="B153" s="11" t="s">
        <v>136</v>
      </c>
    </row>
    <row r="154" spans="1:44" ht="21.75" thickBot="1">
      <c r="A154" s="53">
        <v>1</v>
      </c>
      <c r="B154" s="44">
        <v>2</v>
      </c>
    </row>
    <row r="155" spans="1:44" ht="57" customHeight="1" thickBot="1">
      <c r="A155" s="30" t="s">
        <v>137</v>
      </c>
      <c r="B155" s="902" t="s">
        <v>18</v>
      </c>
    </row>
    <row r="156" spans="1:44" ht="63.75" thickBot="1">
      <c r="A156" s="267" t="s">
        <v>19</v>
      </c>
      <c r="B156" s="16" t="s">
        <v>137</v>
      </c>
    </row>
    <row r="157" spans="1:44">
      <c r="A157" s="368" t="str">
        <f t="shared" ref="A157:A184" si="23">A7</f>
        <v>Eastern Florida State College</v>
      </c>
      <c r="B157" s="903">
        <v>1069587</v>
      </c>
    </row>
    <row r="158" spans="1:44">
      <c r="A158" s="348" t="str">
        <f t="shared" si="23"/>
        <v>Broward College</v>
      </c>
      <c r="B158" s="904">
        <v>1702837</v>
      </c>
    </row>
    <row r="159" spans="1:44">
      <c r="A159" s="348" t="str">
        <f t="shared" si="23"/>
        <v>College of Central Florida</v>
      </c>
      <c r="B159" s="904">
        <v>641483</v>
      </c>
    </row>
    <row r="160" spans="1:44">
      <c r="A160" s="348" t="str">
        <f t="shared" si="23"/>
        <v>Chipola College</v>
      </c>
      <c r="B160" s="904">
        <v>222020</v>
      </c>
    </row>
    <row r="161" spans="1:2">
      <c r="A161" s="348" t="str">
        <f t="shared" si="23"/>
        <v>Daytona State College</v>
      </c>
      <c r="B161" s="904">
        <v>765955</v>
      </c>
    </row>
    <row r="162" spans="1:2">
      <c r="A162" s="348" t="str">
        <f t="shared" si="23"/>
        <v>Florida SouthWestern State College</v>
      </c>
      <c r="B162" s="904">
        <v>876744</v>
      </c>
    </row>
    <row r="163" spans="1:2">
      <c r="A163" s="348" t="str">
        <f t="shared" si="23"/>
        <v>Florida State College at Jacksonville</v>
      </c>
      <c r="B163" s="904">
        <v>1028072</v>
      </c>
    </row>
    <row r="164" spans="1:2">
      <c r="A164" s="348" t="str">
        <f t="shared" si="23"/>
        <v>College of the Florida Keys</v>
      </c>
      <c r="B164" s="904">
        <v>56638</v>
      </c>
    </row>
    <row r="165" spans="1:2">
      <c r="A165" s="348" t="str">
        <f t="shared" si="23"/>
        <v>Gulf Coast State College</v>
      </c>
      <c r="B165" s="904">
        <v>322941</v>
      </c>
    </row>
    <row r="166" spans="1:2">
      <c r="A166" s="348" t="str">
        <f t="shared" si="23"/>
        <v>Hillsborough College</v>
      </c>
      <c r="B166" s="904">
        <v>1508154</v>
      </c>
    </row>
    <row r="167" spans="1:2">
      <c r="A167" s="348" t="str">
        <f t="shared" si="23"/>
        <v>Indian River State College</v>
      </c>
      <c r="B167" s="904">
        <v>1170072</v>
      </c>
    </row>
    <row r="168" spans="1:2">
      <c r="A168" s="348" t="str">
        <f t="shared" si="23"/>
        <v>Florida Gateway College</v>
      </c>
      <c r="B168" s="904">
        <v>265298</v>
      </c>
    </row>
    <row r="169" spans="1:2">
      <c r="A169" s="348" t="str">
        <f t="shared" si="23"/>
        <v>Lake-Sumter State College</v>
      </c>
      <c r="B169" s="904">
        <v>397483</v>
      </c>
    </row>
    <row r="170" spans="1:2">
      <c r="A170" s="348" t="str">
        <f t="shared" si="23"/>
        <v>State College of Florida, Manatee-Sarasota</v>
      </c>
      <c r="B170" s="904">
        <v>513163</v>
      </c>
    </row>
    <row r="171" spans="1:2">
      <c r="A171" s="348" t="str">
        <f t="shared" si="23"/>
        <v>Miami Dade College</v>
      </c>
      <c r="B171" s="904">
        <v>4987167</v>
      </c>
    </row>
    <row r="172" spans="1:2">
      <c r="A172" s="348" t="str">
        <f t="shared" si="23"/>
        <v>North Florida College</v>
      </c>
      <c r="B172" s="904">
        <v>113298</v>
      </c>
    </row>
    <row r="173" spans="1:2">
      <c r="A173" s="348" t="str">
        <f t="shared" si="23"/>
        <v>Northwest Florida State College</v>
      </c>
      <c r="B173" s="904">
        <v>287572</v>
      </c>
    </row>
    <row r="174" spans="1:2">
      <c r="A174" s="348" t="str">
        <f t="shared" si="23"/>
        <v>Palm Beach State College</v>
      </c>
      <c r="B174" s="904">
        <v>1386337</v>
      </c>
    </row>
    <row r="175" spans="1:2">
      <c r="A175" s="348" t="str">
        <f t="shared" si="23"/>
        <v>Pasco-Hernando State College</v>
      </c>
      <c r="B175" s="904">
        <v>815934</v>
      </c>
    </row>
    <row r="176" spans="1:2">
      <c r="A176" s="348" t="str">
        <f t="shared" si="23"/>
        <v>Pensacola State College</v>
      </c>
      <c r="B176" s="904">
        <v>469053</v>
      </c>
    </row>
    <row r="177" spans="1:2">
      <c r="A177" s="348" t="str">
        <f t="shared" si="23"/>
        <v>Polk State College</v>
      </c>
      <c r="B177" s="904">
        <v>350043</v>
      </c>
    </row>
    <row r="178" spans="1:2">
      <c r="A178" s="348" t="str">
        <f t="shared" si="23"/>
        <v>St. Johns River State College</v>
      </c>
      <c r="B178" s="904">
        <v>348815</v>
      </c>
    </row>
    <row r="179" spans="1:2">
      <c r="A179" s="348" t="str">
        <f t="shared" si="23"/>
        <v>St. Petersburg College</v>
      </c>
      <c r="B179" s="904">
        <v>1479966</v>
      </c>
    </row>
    <row r="180" spans="1:2">
      <c r="A180" s="348" t="str">
        <f t="shared" si="23"/>
        <v>Santa Fe College</v>
      </c>
      <c r="B180" s="904">
        <v>1264711</v>
      </c>
    </row>
    <row r="181" spans="1:2">
      <c r="A181" s="348" t="str">
        <f t="shared" si="23"/>
        <v>Seminole State College of Florida</v>
      </c>
      <c r="B181" s="904">
        <v>1540385</v>
      </c>
    </row>
    <row r="182" spans="1:2">
      <c r="A182" s="348" t="str">
        <f t="shared" si="23"/>
        <v>South Florida State College</v>
      </c>
      <c r="B182" s="904">
        <v>213852</v>
      </c>
    </row>
    <row r="183" spans="1:2">
      <c r="A183" s="348" t="str">
        <f t="shared" si="23"/>
        <v>Tallahassee State College</v>
      </c>
      <c r="B183" s="904">
        <v>1436493</v>
      </c>
    </row>
    <row r="184" spans="1:2" ht="21.75" thickBot="1">
      <c r="A184" s="349" t="str">
        <f t="shared" si="23"/>
        <v>Valencia College</v>
      </c>
      <c r="B184" s="905">
        <v>4765927</v>
      </c>
    </row>
    <row r="185" spans="1:2" ht="24" thickBot="1">
      <c r="A185" s="350" t="s">
        <v>52</v>
      </c>
      <c r="B185" s="385">
        <f>SUM(B157:B184)</f>
        <v>30000000</v>
      </c>
    </row>
    <row r="187" spans="1:2" ht="36.75" thickBot="1">
      <c r="A187" s="1110" t="s">
        <v>135</v>
      </c>
      <c r="B187" s="1097"/>
    </row>
    <row r="188" spans="1:2" ht="21.75" thickBot="1">
      <c r="A188" s="53"/>
      <c r="B188" s="54" t="s">
        <v>136</v>
      </c>
    </row>
    <row r="189" spans="1:2" ht="21.75" thickBot="1">
      <c r="A189" s="53">
        <v>1</v>
      </c>
      <c r="B189" s="44">
        <v>2</v>
      </c>
    </row>
    <row r="190" spans="1:2" ht="54" thickBot="1">
      <c r="A190" s="907" t="s">
        <v>138</v>
      </c>
      <c r="B190" s="902" t="s">
        <v>18</v>
      </c>
    </row>
    <row r="191" spans="1:2" ht="42.75" thickBot="1">
      <c r="A191" s="267" t="s">
        <v>19</v>
      </c>
      <c r="B191" s="16" t="s">
        <v>138</v>
      </c>
    </row>
    <row r="192" spans="1:2">
      <c r="A192" s="368" t="str">
        <f t="shared" ref="A192:A219" si="24">A7</f>
        <v>Eastern Florida State College</v>
      </c>
      <c r="B192" s="1111">
        <v>1163744</v>
      </c>
    </row>
    <row r="193" spans="1:2">
      <c r="A193" s="348" t="str">
        <f t="shared" si="24"/>
        <v>Broward College</v>
      </c>
      <c r="B193" s="904">
        <v>1367137</v>
      </c>
    </row>
    <row r="194" spans="1:2">
      <c r="A194" s="348" t="str">
        <f t="shared" si="24"/>
        <v>College of Central Florida</v>
      </c>
      <c r="B194" s="904">
        <v>1001213</v>
      </c>
    </row>
    <row r="195" spans="1:2">
      <c r="A195" s="348" t="str">
        <f t="shared" si="24"/>
        <v>Chipola College</v>
      </c>
      <c r="B195" s="904">
        <v>654808</v>
      </c>
    </row>
    <row r="196" spans="1:2">
      <c r="A196" s="348" t="str">
        <f t="shared" si="24"/>
        <v>Daytona State College</v>
      </c>
      <c r="B196" s="904">
        <v>1772572</v>
      </c>
    </row>
    <row r="197" spans="1:2">
      <c r="A197" s="348" t="str">
        <f t="shared" si="24"/>
        <v>Florida SouthWestern State College</v>
      </c>
      <c r="B197" s="904">
        <v>1494713</v>
      </c>
    </row>
    <row r="198" spans="1:2">
      <c r="A198" s="348" t="str">
        <f t="shared" si="24"/>
        <v>Florida State College at Jacksonville</v>
      </c>
      <c r="B198" s="904">
        <v>2212839</v>
      </c>
    </row>
    <row r="199" spans="1:2">
      <c r="A199" s="348" t="str">
        <f t="shared" si="24"/>
        <v>College of the Florida Keys</v>
      </c>
      <c r="B199" s="904">
        <v>662553</v>
      </c>
    </row>
    <row r="200" spans="1:2">
      <c r="A200" s="348" t="str">
        <f t="shared" si="24"/>
        <v>Gulf Coast State College</v>
      </c>
      <c r="B200" s="904">
        <v>1575608</v>
      </c>
    </row>
    <row r="201" spans="1:2">
      <c r="A201" s="348" t="str">
        <f t="shared" si="24"/>
        <v>Hillsborough College</v>
      </c>
      <c r="B201" s="904">
        <v>1186213</v>
      </c>
    </row>
    <row r="202" spans="1:2">
      <c r="A202" s="348" t="str">
        <f t="shared" si="24"/>
        <v>Indian River State College</v>
      </c>
      <c r="B202" s="904">
        <v>2275902</v>
      </c>
    </row>
    <row r="203" spans="1:2">
      <c r="A203" s="348" t="str">
        <f t="shared" si="24"/>
        <v>Florida Gateway College</v>
      </c>
      <c r="B203" s="904">
        <v>1643510</v>
      </c>
    </row>
    <row r="204" spans="1:2">
      <c r="A204" s="348" t="str">
        <f t="shared" si="24"/>
        <v>Lake-Sumter State College</v>
      </c>
      <c r="B204" s="904">
        <v>1092283</v>
      </c>
    </row>
    <row r="205" spans="1:2">
      <c r="A205" s="348" t="str">
        <f t="shared" si="24"/>
        <v>State College of Florida, Manatee-Sarasota</v>
      </c>
      <c r="B205" s="904">
        <v>1530501</v>
      </c>
    </row>
    <row r="206" spans="1:2">
      <c r="A206" s="348" t="str">
        <f t="shared" si="24"/>
        <v>Miami Dade College</v>
      </c>
      <c r="B206" s="904">
        <v>2808311</v>
      </c>
    </row>
    <row r="207" spans="1:2">
      <c r="A207" s="348" t="str">
        <f t="shared" si="24"/>
        <v>North Florida College</v>
      </c>
      <c r="B207" s="904">
        <v>473845</v>
      </c>
    </row>
    <row r="208" spans="1:2">
      <c r="A208" s="348" t="str">
        <f t="shared" si="24"/>
        <v>Northwest Florida State College</v>
      </c>
      <c r="B208" s="904">
        <v>942559</v>
      </c>
    </row>
    <row r="209" spans="1:2">
      <c r="A209" s="348" t="str">
        <f t="shared" si="24"/>
        <v>Palm Beach State College</v>
      </c>
      <c r="B209" s="904">
        <v>2131701</v>
      </c>
    </row>
    <row r="210" spans="1:2">
      <c r="A210" s="348" t="str">
        <f t="shared" si="24"/>
        <v>Pasco-Hernando State College</v>
      </c>
      <c r="B210" s="904">
        <v>1547834</v>
      </c>
    </row>
    <row r="211" spans="1:2">
      <c r="A211" s="348" t="str">
        <f t="shared" si="24"/>
        <v>Pensacola State College</v>
      </c>
      <c r="B211" s="904">
        <v>1393554</v>
      </c>
    </row>
    <row r="212" spans="1:2">
      <c r="A212" s="348" t="str">
        <f t="shared" si="24"/>
        <v>Polk State College</v>
      </c>
      <c r="B212" s="904">
        <v>1168387</v>
      </c>
    </row>
    <row r="213" spans="1:2">
      <c r="A213" s="348" t="str">
        <f t="shared" si="24"/>
        <v>St. Johns River State College</v>
      </c>
      <c r="B213" s="904">
        <v>1585072</v>
      </c>
    </row>
    <row r="214" spans="1:2">
      <c r="A214" s="348" t="str">
        <f t="shared" si="24"/>
        <v>St. Petersburg College</v>
      </c>
      <c r="B214" s="904">
        <v>1845523</v>
      </c>
    </row>
    <row r="215" spans="1:2">
      <c r="A215" s="348" t="str">
        <f t="shared" si="24"/>
        <v>Santa Fe College</v>
      </c>
      <c r="B215" s="904">
        <v>1427135</v>
      </c>
    </row>
    <row r="216" spans="1:2">
      <c r="A216" s="348" t="str">
        <f t="shared" si="24"/>
        <v>Seminole State College of Florida</v>
      </c>
      <c r="B216" s="904">
        <v>1434814</v>
      </c>
    </row>
    <row r="217" spans="1:2">
      <c r="A217" s="348" t="str">
        <f t="shared" si="24"/>
        <v>South Florida State College</v>
      </c>
      <c r="B217" s="904">
        <v>1330680</v>
      </c>
    </row>
    <row r="218" spans="1:2">
      <c r="A218" s="348" t="str">
        <f t="shared" si="24"/>
        <v>Tallahassee State College</v>
      </c>
      <c r="B218" s="904">
        <v>669075</v>
      </c>
    </row>
    <row r="219" spans="1:2" ht="21.75" thickBot="1">
      <c r="A219" s="349" t="str">
        <f t="shared" si="24"/>
        <v>Valencia College</v>
      </c>
      <c r="B219" s="905">
        <v>1607914</v>
      </c>
    </row>
    <row r="220" spans="1:2" ht="24" thickBot="1">
      <c r="A220" s="350" t="s">
        <v>52</v>
      </c>
      <c r="B220" s="385">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0"/>
    <col min="2" max="2" width="21.28515625" style="10" customWidth="1"/>
    <col min="3" max="3" width="75.140625" style="10" customWidth="1"/>
    <col min="4" max="4" width="40.28515625" style="10" customWidth="1"/>
    <col min="5" max="5" width="24" style="10" customWidth="1"/>
    <col min="6" max="6" width="3" style="10" customWidth="1"/>
    <col min="7" max="9" width="9.140625" style="10"/>
    <col min="10" max="10" width="16.7109375" style="10" customWidth="1"/>
    <col min="11" max="16384" width="9.140625" style="10"/>
  </cols>
  <sheetData>
    <row r="1" spans="2:7" ht="26.25">
      <c r="B1" s="732" t="s">
        <v>139</v>
      </c>
      <c r="C1" s="732"/>
      <c r="D1" s="732"/>
      <c r="E1" s="732"/>
      <c r="F1" s="261"/>
      <c r="G1" s="261"/>
    </row>
    <row r="2" spans="2:7" ht="26.25">
      <c r="B2" s="732" t="s">
        <v>10</v>
      </c>
      <c r="C2" s="732"/>
      <c r="D2" s="732"/>
      <c r="E2" s="732"/>
      <c r="F2" s="441"/>
      <c r="G2" s="441"/>
    </row>
    <row r="3" spans="2:7" ht="26.25">
      <c r="B3" s="732" t="s">
        <v>140</v>
      </c>
      <c r="C3" s="732"/>
      <c r="D3" s="732"/>
      <c r="E3" s="732"/>
      <c r="F3" s="441"/>
      <c r="G3" s="441"/>
    </row>
    <row r="4" spans="2:7" ht="26.25">
      <c r="B4" s="732" t="s">
        <v>141</v>
      </c>
      <c r="C4" s="732"/>
      <c r="D4" s="732"/>
      <c r="E4" s="732"/>
      <c r="F4" s="441"/>
      <c r="G4" s="441"/>
    </row>
    <row r="5" spans="2:7" ht="26.25">
      <c r="B5" s="732" t="s">
        <v>142</v>
      </c>
      <c r="C5" s="732"/>
      <c r="D5" s="732"/>
      <c r="E5" s="732"/>
      <c r="F5" s="441"/>
      <c r="G5" s="441"/>
    </row>
    <row r="6" spans="2:7" ht="25.35" customHeight="1">
      <c r="B6" s="441"/>
      <c r="C6" s="441"/>
      <c r="D6" s="441"/>
      <c r="E6" s="441"/>
      <c r="F6" s="441"/>
      <c r="G6" s="441"/>
    </row>
    <row r="7" spans="2:7" ht="25.35" customHeight="1">
      <c r="B7" s="261"/>
      <c r="C7" s="441"/>
      <c r="D7" s="261"/>
      <c r="E7" s="261"/>
      <c r="F7" s="261"/>
      <c r="G7" s="261"/>
    </row>
    <row r="8" spans="2:7" ht="25.35" customHeight="1">
      <c r="B8" s="303" t="s">
        <v>143</v>
      </c>
      <c r="C8" s="668" t="str">
        <f>'CHECK SHEET'!D7</f>
        <v>Polk State College</v>
      </c>
      <c r="D8" s="668"/>
      <c r="E8" s="668"/>
      <c r="F8" s="260"/>
      <c r="G8" s="260"/>
    </row>
    <row r="9" spans="2:7" ht="25.35" customHeight="1"/>
    <row r="10" spans="2:7" ht="41.45" customHeight="1">
      <c r="E10" s="519" t="s">
        <v>144</v>
      </c>
    </row>
    <row r="11" spans="2:7" ht="25.35" customHeight="1">
      <c r="B11" s="20" t="s">
        <v>145</v>
      </c>
      <c r="D11" s="20"/>
      <c r="E11" s="144"/>
    </row>
    <row r="12" spans="2:7" ht="25.35" customHeight="1">
      <c r="B12" s="20"/>
      <c r="C12" s="20"/>
      <c r="D12" s="20"/>
    </row>
    <row r="13" spans="2:7" ht="25.35" customHeight="1">
      <c r="B13" s="10" t="s">
        <v>146</v>
      </c>
      <c r="C13" s="20"/>
      <c r="D13" s="20"/>
      <c r="E13" s="923">
        <v>-1407616</v>
      </c>
    </row>
    <row r="14" spans="2:7" ht="25.35" customHeight="1">
      <c r="B14" s="10" t="s">
        <v>147</v>
      </c>
      <c r="D14" s="20"/>
      <c r="E14" s="970">
        <v>22956519</v>
      </c>
    </row>
    <row r="15" spans="2:7" ht="25.35" customHeight="1">
      <c r="B15" s="20"/>
      <c r="D15" s="20"/>
      <c r="E15" s="145"/>
    </row>
    <row r="16" spans="2:7" ht="25.35" customHeight="1">
      <c r="B16" s="10" t="s">
        <v>148</v>
      </c>
      <c r="C16" s="20"/>
      <c r="D16" s="20"/>
      <c r="E16" s="520">
        <f>+E14+E13</f>
        <v>21548903</v>
      </c>
    </row>
    <row r="17" spans="2:7" ht="25.35" customHeight="1">
      <c r="B17" s="20"/>
      <c r="C17" s="20"/>
      <c r="D17" s="20"/>
      <c r="E17" s="146"/>
    </row>
    <row r="18" spans="2:7" ht="25.35" customHeight="1">
      <c r="B18" s="10" t="s">
        <v>149</v>
      </c>
      <c r="C18" s="20"/>
      <c r="D18" s="20"/>
      <c r="E18" s="156">
        <f>+'EXHIBIT D'!G143-SUM(+'EXHIBIT D'!G133+'EXHIBIT D'!G134)</f>
        <v>77333874</v>
      </c>
      <c r="G18" s="122"/>
    </row>
    <row r="19" spans="2:7" ht="25.35" customHeight="1">
      <c r="B19" s="10" t="s">
        <v>150</v>
      </c>
      <c r="D19" s="20"/>
      <c r="E19" s="520">
        <f>+'EXHIBIT D'!G133+'EXHIBIT D'!G134</f>
        <v>0</v>
      </c>
    </row>
    <row r="20" spans="2:7" ht="25.35" customHeight="1">
      <c r="B20" s="20"/>
      <c r="D20" s="20"/>
      <c r="E20" s="151"/>
    </row>
    <row r="21" spans="2:7" ht="25.35" customHeight="1">
      <c r="B21" s="10" t="s">
        <v>151</v>
      </c>
      <c r="C21" s="20"/>
      <c r="D21" s="20"/>
      <c r="E21" s="521">
        <f>+E19+E18</f>
        <v>77333874</v>
      </c>
    </row>
    <row r="22" spans="2:7" ht="25.35" customHeight="1">
      <c r="B22" s="20"/>
      <c r="C22" s="20"/>
      <c r="D22" s="20"/>
      <c r="E22" s="151"/>
    </row>
    <row r="23" spans="2:7" ht="25.35" customHeight="1">
      <c r="B23" s="20" t="s">
        <v>152</v>
      </c>
      <c r="C23" s="20"/>
      <c r="D23" s="20"/>
      <c r="E23" s="521">
        <f>+E21+E16</f>
        <v>98882777</v>
      </c>
    </row>
    <row r="24" spans="2:7" ht="25.35" customHeight="1">
      <c r="B24" s="20"/>
      <c r="C24" s="20"/>
      <c r="D24" s="20"/>
      <c r="E24" s="151"/>
    </row>
    <row r="25" spans="2:7" ht="25.35" customHeight="1">
      <c r="B25" s="10" t="s">
        <v>153</v>
      </c>
      <c r="C25" s="20"/>
      <c r="D25" s="20"/>
      <c r="E25" s="157">
        <f>'EXHIBIT D'!G248-SUM(+'EXHIBIT D'!G222+'EXHIBIT D'!G223)</f>
        <v>77333874</v>
      </c>
    </row>
    <row r="26" spans="2:7" ht="25.35" customHeight="1">
      <c r="B26" s="10" t="s">
        <v>154</v>
      </c>
      <c r="D26" s="20"/>
      <c r="E26" s="520">
        <f>'EXHIBIT D'!G222+'EXHIBIT D'!G223</f>
        <v>0</v>
      </c>
    </row>
    <row r="27" spans="2:7" ht="25.35" customHeight="1">
      <c r="B27" s="20"/>
      <c r="D27" s="20"/>
      <c r="E27" s="151"/>
    </row>
    <row r="28" spans="2:7" ht="25.35" customHeight="1">
      <c r="B28" s="20" t="s">
        <v>155</v>
      </c>
      <c r="C28" s="20"/>
      <c r="D28" s="20"/>
      <c r="E28" s="522">
        <f>+E26+E25</f>
        <v>77333874</v>
      </c>
    </row>
    <row r="29" spans="2:7" ht="25.35" customHeight="1">
      <c r="B29" s="20"/>
      <c r="C29" s="20"/>
      <c r="D29" s="20"/>
      <c r="E29" s="147"/>
    </row>
    <row r="30" spans="2:7" ht="25.35" customHeight="1">
      <c r="B30" s="20" t="s">
        <v>156</v>
      </c>
      <c r="C30" s="20"/>
      <c r="D30" s="20"/>
      <c r="E30" s="147"/>
    </row>
    <row r="31" spans="2:7" ht="25.35" customHeight="1">
      <c r="B31" s="20"/>
      <c r="C31" s="20"/>
      <c r="D31" s="20"/>
      <c r="E31" s="147"/>
    </row>
    <row r="32" spans="2:7" ht="25.35" customHeight="1">
      <c r="B32" s="10" t="s">
        <v>157</v>
      </c>
      <c r="C32" s="20"/>
      <c r="D32" s="148">
        <f>+E23-E28</f>
        <v>21548903</v>
      </c>
      <c r="E32" s="147"/>
    </row>
    <row r="33" spans="2:10" ht="25.35" customHeight="1">
      <c r="B33" s="10" t="s">
        <v>158</v>
      </c>
      <c r="C33" s="20"/>
      <c r="D33" s="523">
        <f>+'EXHIBIT D'!G186</f>
        <v>0</v>
      </c>
      <c r="E33" s="147"/>
    </row>
    <row r="34" spans="2:10" ht="25.35" customHeight="1">
      <c r="B34" s="20"/>
      <c r="D34" s="20"/>
      <c r="E34" s="147"/>
      <c r="J34" s="149"/>
    </row>
    <row r="35" spans="2:10" ht="25.35" customHeight="1">
      <c r="B35" s="10" t="s">
        <v>159</v>
      </c>
      <c r="C35" s="20"/>
      <c r="D35" s="20"/>
      <c r="E35" s="150">
        <f>+D32+D33</f>
        <v>21548903</v>
      </c>
    </row>
    <row r="36" spans="2:10" ht="25.35" customHeight="1">
      <c r="B36" s="10" t="s">
        <v>160</v>
      </c>
      <c r="C36" s="20"/>
      <c r="D36" s="20"/>
      <c r="E36" s="521">
        <f>-'EXHIBIT D'!G264</f>
        <v>22956519</v>
      </c>
      <c r="J36" s="40"/>
    </row>
    <row r="37" spans="2:10" ht="25.35" customHeight="1">
      <c r="D37" s="20"/>
      <c r="E37" s="150"/>
    </row>
    <row r="38" spans="2:10" ht="25.35" customHeight="1">
      <c r="B38" s="20" t="s">
        <v>161</v>
      </c>
      <c r="D38" s="20"/>
      <c r="E38" s="520">
        <f>+E35-E36</f>
        <v>-1407616</v>
      </c>
    </row>
    <row r="39" spans="2:10" ht="25.35" customHeight="1">
      <c r="B39" s="20"/>
      <c r="C39" s="20"/>
      <c r="D39" s="20"/>
      <c r="E39" s="151"/>
    </row>
    <row r="40" spans="2:10" ht="25.35" customHeight="1">
      <c r="B40" s="10" t="s">
        <v>162</v>
      </c>
      <c r="C40" s="20"/>
      <c r="D40" s="20"/>
      <c r="E40" s="522">
        <f>'EXHIBIT D'!G253+'EXHIBIT D'!G254+'EXHIBIT D'!G255+'EXHIBIT D'!G256+'EXHIBIT D'!G257+'EXHIBIT D'!G258+'EXHIBIT D'!G259+'EXHIBIT D'!G260</f>
        <v>21548903</v>
      </c>
    </row>
    <row r="41" spans="2:10" ht="25.35" customHeight="1">
      <c r="B41" s="10" t="s">
        <v>163</v>
      </c>
      <c r="D41" s="20"/>
      <c r="E41" s="152"/>
    </row>
    <row r="42" spans="2:10" ht="25.35" customHeight="1">
      <c r="D42" s="20"/>
      <c r="E42" s="153"/>
    </row>
    <row r="43" spans="2:10" ht="25.35" customHeight="1">
      <c r="B43" s="20" t="s">
        <v>164</v>
      </c>
      <c r="D43" s="20"/>
      <c r="E43" s="153"/>
    </row>
    <row r="44" spans="2:10" ht="25.35" customHeight="1">
      <c r="B44" s="20" t="s">
        <v>165</v>
      </c>
      <c r="C44" s="20"/>
      <c r="D44" s="20"/>
      <c r="E44" s="524">
        <f>+E40/E23</f>
        <v>0.2179237239666115</v>
      </c>
    </row>
    <row r="45" spans="2:10" ht="25.35" customHeight="1">
      <c r="B45" s="20"/>
      <c r="C45" s="20"/>
      <c r="D45" s="20"/>
      <c r="E45" s="153"/>
    </row>
    <row r="46" spans="2:10" ht="25.35" customHeight="1">
      <c r="B46" s="20" t="s">
        <v>166</v>
      </c>
      <c r="C46" s="20"/>
      <c r="D46" s="20"/>
      <c r="E46" s="153"/>
    </row>
    <row r="47" spans="2:10" ht="25.35" customHeight="1">
      <c r="B47" s="20"/>
      <c r="C47" s="20"/>
      <c r="D47" s="20"/>
      <c r="E47" s="153"/>
    </row>
    <row r="48" spans="2:10" ht="25.35" customHeight="1">
      <c r="B48" s="20"/>
      <c r="C48" s="20"/>
      <c r="D48" s="20"/>
      <c r="E48" s="153"/>
    </row>
    <row r="49" spans="2:5" ht="25.35" customHeight="1">
      <c r="B49" s="20"/>
      <c r="C49" s="20"/>
      <c r="D49" s="20"/>
      <c r="E49" s="153"/>
    </row>
    <row r="50" spans="2:5" ht="25.35" customHeight="1">
      <c r="B50" s="525"/>
      <c r="C50" s="525"/>
      <c r="D50" s="20"/>
      <c r="E50" s="526"/>
    </row>
    <row r="51" spans="2:5" ht="25.35" customHeight="1">
      <c r="B51" s="20" t="s">
        <v>167</v>
      </c>
      <c r="E51" s="154" t="s">
        <v>168</v>
      </c>
    </row>
    <row r="52" spans="2:5" ht="15.75" customHeight="1">
      <c r="C52" s="20"/>
      <c r="E52" s="155"/>
    </row>
    <row r="53" spans="2:5" ht="15.75" customHeight="1">
      <c r="E53" s="155"/>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g3sBA01ZO7tGmhqXp2SXRb5RfxOLw0zswZz/7Z/R/RWmJg1sQnVKPLLQIJsshkb2dcJQYLTCj7xsgcuViBL9Ug==" saltValue="bL7EbN/k2+W9Zuu3NXb+RA=="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 right="0" top="0" bottom="0" header="0" footer="0"/>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24" colorId="22" zoomScale="70" zoomScaleNormal="70" zoomScaleSheetLayoutView="51" zoomScalePageLayoutView="60" workbookViewId="0">
      <selection activeCell="D28" sqref="D28"/>
    </sheetView>
  </sheetViews>
  <sheetFormatPr defaultColWidth="9.7109375" defaultRowHeight="21"/>
  <cols>
    <col min="1" max="1" width="5.140625" style="10" customWidth="1"/>
    <col min="2" max="2" width="1.7109375" style="10" customWidth="1"/>
    <col min="3" max="3" width="104.85546875" style="10" customWidth="1"/>
    <col min="4" max="4" width="59.85546875" style="10" customWidth="1"/>
    <col min="5" max="5" width="34.28515625" style="10" customWidth="1"/>
    <col min="6" max="6" width="22.42578125" style="10" customWidth="1"/>
    <col min="7" max="7" width="18.7109375" style="10" customWidth="1"/>
    <col min="8" max="8" width="1.7109375" style="10" customWidth="1"/>
    <col min="9" max="9" width="63.42578125" style="10" customWidth="1"/>
    <col min="10" max="11" width="18.140625" style="10" customWidth="1"/>
    <col min="12" max="12" width="22.7109375" style="10" customWidth="1"/>
    <col min="13" max="13" width="3.28515625" style="10" customWidth="1"/>
    <col min="14" max="14" width="32" style="10" customWidth="1"/>
    <col min="15" max="15" width="47" style="10" customWidth="1"/>
    <col min="16" max="16" width="31.42578125" style="10" customWidth="1"/>
    <col min="17" max="17" width="2.85546875" style="10" customWidth="1"/>
    <col min="18" max="18" width="48.140625" style="10" customWidth="1"/>
    <col min="19" max="19" width="28.7109375" style="10" customWidth="1"/>
    <col min="20" max="20" width="5.140625" style="10" customWidth="1"/>
    <col min="21" max="21" width="70" style="10" customWidth="1"/>
    <col min="22" max="22" width="26.140625" style="10" customWidth="1"/>
    <col min="23" max="23" width="22.28515625" style="10" customWidth="1"/>
    <col min="24" max="24" width="24.42578125" style="10" customWidth="1"/>
    <col min="25" max="25" width="21.140625" style="10" customWidth="1"/>
    <col min="26" max="26" width="17.42578125" style="10" customWidth="1"/>
    <col min="27" max="16384" width="9.7109375" style="10"/>
  </cols>
  <sheetData>
    <row r="1" spans="1:9">
      <c r="A1" s="722" t="s">
        <v>10</v>
      </c>
      <c r="B1" s="722"/>
      <c r="C1" s="722"/>
      <c r="D1" s="722"/>
      <c r="E1" s="722"/>
      <c r="F1" s="722"/>
      <c r="G1" s="722"/>
      <c r="H1" s="20"/>
      <c r="I1" s="20"/>
    </row>
    <row r="2" spans="1:9" ht="20.100000000000001" customHeight="1">
      <c r="A2" s="722" t="s">
        <v>169</v>
      </c>
      <c r="B2" s="722"/>
      <c r="C2" s="722"/>
      <c r="D2" s="722"/>
      <c r="E2" s="722"/>
      <c r="F2" s="722"/>
      <c r="G2" s="722"/>
    </row>
    <row r="3" spans="1:9" ht="20.100000000000001" customHeight="1">
      <c r="A3" s="722"/>
      <c r="B3" s="722"/>
      <c r="C3" s="722"/>
      <c r="D3" s="722"/>
      <c r="E3" s="722"/>
      <c r="F3" s="722"/>
      <c r="G3" s="722"/>
      <c r="H3" s="76"/>
    </row>
    <row r="4" spans="1:9" ht="28.35" customHeight="1">
      <c r="A4" s="918" t="s">
        <v>170</v>
      </c>
      <c r="B4" s="918"/>
      <c r="C4" s="918"/>
      <c r="D4" s="918"/>
      <c r="E4" s="918"/>
      <c r="F4" s="918"/>
      <c r="G4" s="918"/>
      <c r="H4" s="74"/>
      <c r="I4" s="74"/>
    </row>
    <row r="5" spans="1:9" ht="20.100000000000001" customHeight="1">
      <c r="D5" s="77"/>
      <c r="E5" s="77"/>
      <c r="F5" s="77"/>
      <c r="G5" s="78"/>
      <c r="H5" s="76"/>
    </row>
    <row r="6" spans="1:9" ht="20.100000000000001" customHeight="1">
      <c r="G6" s="76"/>
    </row>
    <row r="7" spans="1:9" ht="23.1" customHeight="1" thickBot="1">
      <c r="A7" s="79" t="s">
        <v>171</v>
      </c>
      <c r="C7" s="75" t="s">
        <v>172</v>
      </c>
      <c r="D7" s="654" t="s">
        <v>43</v>
      </c>
      <c r="E7" s="756"/>
      <c r="F7" s="756"/>
      <c r="G7" s="76"/>
      <c r="H7" s="76"/>
    </row>
    <row r="8" spans="1:9" ht="20.100000000000001" customHeight="1">
      <c r="A8" s="76"/>
      <c r="B8" s="76"/>
      <c r="C8" s="76"/>
      <c r="D8" s="76"/>
      <c r="E8" s="76"/>
      <c r="F8" s="76"/>
      <c r="G8" s="76"/>
      <c r="H8" s="76"/>
    </row>
    <row r="9" spans="1:9" ht="20.100000000000001" customHeight="1">
      <c r="A9" s="76"/>
      <c r="B9" s="76"/>
      <c r="C9" s="76"/>
      <c r="D9" s="76"/>
      <c r="E9" s="76"/>
      <c r="F9" s="76"/>
      <c r="G9" s="76"/>
      <c r="H9" s="76"/>
    </row>
    <row r="10" spans="1:9" ht="89.1" customHeight="1">
      <c r="A10" s="391" t="s">
        <v>173</v>
      </c>
      <c r="B10" s="79"/>
      <c r="C10" s="723" t="s">
        <v>174</v>
      </c>
      <c r="D10" s="723"/>
      <c r="E10" s="723"/>
      <c r="F10" s="723"/>
      <c r="G10" s="723"/>
      <c r="H10" s="81"/>
      <c r="I10" s="476"/>
    </row>
    <row r="11" spans="1:9" ht="20.45" customHeight="1">
      <c r="A11" s="79"/>
      <c r="B11" s="79"/>
      <c r="C11" s="388"/>
      <c r="D11" s="388"/>
      <c r="E11" s="388"/>
      <c r="F11" s="76"/>
      <c r="G11" s="76"/>
      <c r="H11" s="81"/>
    </row>
    <row r="12" spans="1:9" ht="20.100000000000001" customHeight="1">
      <c r="C12" s="15" t="s">
        <v>175</v>
      </c>
      <c r="D12" s="15"/>
      <c r="E12" s="15"/>
      <c r="F12" s="82"/>
      <c r="G12" s="82"/>
      <c r="H12" s="82"/>
    </row>
    <row r="13" spans="1:9" ht="20.100000000000001" customHeight="1">
      <c r="C13" s="80"/>
      <c r="H13" s="82"/>
    </row>
    <row r="14" spans="1:9" ht="20.100000000000001" customHeight="1">
      <c r="C14" s="80"/>
    </row>
    <row r="15" spans="1:9" ht="20.100000000000001" customHeight="1">
      <c r="A15" s="79" t="s">
        <v>176</v>
      </c>
      <c r="B15" s="79"/>
      <c r="C15" s="656" t="s">
        <v>177</v>
      </c>
      <c r="D15" s="656"/>
      <c r="E15" s="656"/>
    </row>
    <row r="16" spans="1:9" ht="20.100000000000001" customHeight="1">
      <c r="A16" s="656"/>
      <c r="B16" s="656"/>
      <c r="D16" s="76"/>
      <c r="E16" s="76"/>
      <c r="H16" s="76"/>
    </row>
    <row r="17" spans="1:8" ht="27" customHeight="1">
      <c r="C17" s="663">
        <f>IF(+'EXHIBIT A'!E44&gt;=0.0499,+'EXHIBIT A'!E44,"PERCENTAGE DOES NOT MEET STATUTORY GUIDELINES")</f>
        <v>0.2179237239666115</v>
      </c>
      <c r="D17" s="663"/>
      <c r="E17" s="663"/>
      <c r="F17" s="663"/>
      <c r="G17" s="663"/>
      <c r="H17" s="76"/>
    </row>
    <row r="18" spans="1:8" ht="20.100000000000001" customHeight="1">
      <c r="A18" s="656"/>
      <c r="B18" s="656"/>
      <c r="C18" s="724" t="s">
        <v>178</v>
      </c>
      <c r="D18" s="724"/>
      <c r="E18" s="724"/>
      <c r="F18" s="724"/>
      <c r="G18" s="724"/>
      <c r="H18" s="76"/>
    </row>
    <row r="19" spans="1:8" ht="20.100000000000001" customHeight="1">
      <c r="A19" s="656"/>
      <c r="B19" s="656"/>
      <c r="C19" s="20"/>
      <c r="D19" s="20"/>
      <c r="E19" s="20"/>
      <c r="F19" s="76"/>
      <c r="G19" s="76"/>
      <c r="H19" s="76"/>
    </row>
    <row r="20" spans="1:8" ht="20.100000000000001" customHeight="1"/>
    <row r="21" spans="1:8" ht="20.100000000000001" customHeight="1">
      <c r="A21" s="79" t="s">
        <v>179</v>
      </c>
      <c r="B21" s="79"/>
      <c r="C21" s="656" t="s">
        <v>180</v>
      </c>
      <c r="D21" s="656"/>
      <c r="E21" s="656"/>
      <c r="F21" s="21"/>
      <c r="G21" s="21"/>
      <c r="H21" s="76"/>
    </row>
    <row r="22" spans="1:8" ht="20.100000000000001" customHeight="1">
      <c r="C22" s="21"/>
      <c r="D22" s="21"/>
      <c r="E22" s="21"/>
      <c r="F22" s="21"/>
      <c r="G22" s="21"/>
      <c r="H22" s="76"/>
    </row>
    <row r="23" spans="1:8" ht="20.100000000000001" customHeight="1">
      <c r="C23" s="76" t="s">
        <v>181</v>
      </c>
      <c r="H23" s="76"/>
    </row>
    <row r="24" spans="1:8" ht="20.100000000000001" customHeight="1">
      <c r="A24" s="83"/>
      <c r="B24" s="83"/>
      <c r="C24" s="76" t="s">
        <v>182</v>
      </c>
      <c r="D24" s="76"/>
      <c r="E24" s="76"/>
      <c r="F24" s="76"/>
      <c r="G24" s="76"/>
      <c r="H24" s="76"/>
    </row>
    <row r="25" spans="1:8" ht="20.100000000000001" customHeight="1">
      <c r="A25" s="79"/>
      <c r="B25" s="79"/>
      <c r="C25" s="76" t="s">
        <v>183</v>
      </c>
      <c r="D25" s="76"/>
      <c r="E25" s="84"/>
      <c r="F25" s="76"/>
      <c r="G25" s="76"/>
      <c r="H25" s="76"/>
    </row>
    <row r="26" spans="1:8" ht="20.100000000000001" customHeight="1">
      <c r="A26" s="79"/>
      <c r="B26" s="79"/>
      <c r="C26" s="76" t="s">
        <v>184</v>
      </c>
      <c r="D26" s="76"/>
      <c r="E26" s="84"/>
      <c r="F26" s="76"/>
      <c r="G26" s="76"/>
      <c r="H26" s="76"/>
    </row>
    <row r="27" spans="1:8" ht="20.100000000000001" customHeight="1">
      <c r="A27" s="79"/>
      <c r="B27" s="79"/>
      <c r="C27" s="76" t="s">
        <v>185</v>
      </c>
      <c r="D27" s="76"/>
      <c r="E27" s="76"/>
      <c r="F27" s="76"/>
      <c r="G27" s="76"/>
      <c r="H27" s="76"/>
    </row>
    <row r="28" spans="1:8" ht="20.100000000000001" customHeight="1">
      <c r="A28" s="85"/>
      <c r="B28" s="85"/>
      <c r="C28" s="76" t="s">
        <v>186</v>
      </c>
      <c r="H28" s="76"/>
    </row>
    <row r="29" spans="1:8" ht="20.100000000000001" customHeight="1">
      <c r="A29" s="85"/>
      <c r="B29" s="85"/>
      <c r="C29" s="10" t="s">
        <v>187</v>
      </c>
      <c r="D29" s="76"/>
      <c r="E29" s="76"/>
      <c r="F29" s="76"/>
      <c r="G29" s="76"/>
      <c r="H29" s="76"/>
    </row>
    <row r="30" spans="1:8" ht="20.100000000000001" customHeight="1">
      <c r="A30" s="85"/>
      <c r="B30" s="85"/>
      <c r="D30" s="76"/>
      <c r="E30" s="76"/>
      <c r="F30" s="76"/>
      <c r="G30" s="76"/>
      <c r="H30" s="76"/>
    </row>
    <row r="31" spans="1:8" ht="20.100000000000001" customHeight="1">
      <c r="A31" s="85"/>
      <c r="B31" s="85"/>
      <c r="D31" s="76"/>
      <c r="E31" s="76"/>
      <c r="F31" s="76"/>
      <c r="G31" s="76"/>
      <c r="H31" s="76"/>
    </row>
    <row r="32" spans="1:8" ht="20.100000000000001" customHeight="1">
      <c r="A32" s="85" t="s">
        <v>188</v>
      </c>
      <c r="B32" s="85"/>
      <c r="C32" s="21" t="s">
        <v>189</v>
      </c>
      <c r="D32" s="76"/>
      <c r="E32" s="76"/>
      <c r="F32" s="76"/>
      <c r="G32" s="76"/>
      <c r="H32" s="76"/>
    </row>
    <row r="33" spans="1:8" ht="20.100000000000001" customHeight="1">
      <c r="A33" s="86"/>
      <c r="B33" s="86"/>
      <c r="C33" s="80"/>
      <c r="D33" s="76"/>
      <c r="E33" s="76"/>
      <c r="F33" s="76"/>
      <c r="G33" s="76"/>
      <c r="H33" s="76"/>
    </row>
    <row r="34" spans="1:8" ht="20.100000000000001" customHeight="1">
      <c r="A34" s="86"/>
      <c r="B34" s="86"/>
      <c r="C34" s="1112" t="str">
        <f>IF(+'EXHIBIT C'!H47+'EXHIBIT C(2)'!E31='EXHIBIT D'!G45,"Equal","Not Equal")</f>
        <v>Equal</v>
      </c>
      <c r="D34" s="76"/>
      <c r="E34" s="76"/>
      <c r="F34" s="76"/>
      <c r="G34" s="76"/>
      <c r="H34" s="76"/>
    </row>
    <row r="35" spans="1:8" ht="20.100000000000001" customHeight="1">
      <c r="A35" s="86"/>
      <c r="B35" s="86"/>
      <c r="C35" s="87"/>
      <c r="D35" s="76"/>
      <c r="E35" s="76"/>
      <c r="F35" s="76"/>
      <c r="G35" s="76"/>
      <c r="H35" s="76"/>
    </row>
    <row r="36" spans="1:8" ht="20.100000000000001" customHeight="1">
      <c r="E36" s="76"/>
      <c r="F36" s="76"/>
      <c r="G36" s="76"/>
      <c r="H36" s="76"/>
    </row>
    <row r="37" spans="1:8" ht="20.100000000000001" customHeight="1">
      <c r="A37" s="79" t="s">
        <v>190</v>
      </c>
      <c r="B37" s="79"/>
      <c r="C37" s="21" t="s">
        <v>191</v>
      </c>
      <c r="D37" s="76"/>
      <c r="E37" s="76"/>
      <c r="F37" s="88"/>
      <c r="G37" s="76"/>
      <c r="H37" s="76"/>
    </row>
    <row r="38" spans="1:8" ht="20.100000000000001" customHeight="1">
      <c r="C38" s="21" t="s">
        <v>192</v>
      </c>
      <c r="D38" s="76"/>
      <c r="E38" s="76"/>
      <c r="F38" s="89"/>
      <c r="G38" s="76"/>
      <c r="H38" s="76"/>
    </row>
    <row r="39" spans="1:8" ht="20.100000000000001" customHeight="1" thickBot="1">
      <c r="G39" s="76"/>
      <c r="H39" s="76"/>
    </row>
    <row r="40" spans="1:8" ht="20.100000000000001" customHeight="1">
      <c r="C40" s="90"/>
      <c r="D40" s="91" t="s">
        <v>83</v>
      </c>
      <c r="E40" s="91" t="str">
        <f>D40</f>
        <v>2026-27</v>
      </c>
      <c r="F40" s="92"/>
      <c r="G40" s="93"/>
      <c r="H40" s="76"/>
    </row>
    <row r="41" spans="1:8" ht="20.100000000000001" customHeight="1">
      <c r="C41" s="94"/>
      <c r="D41" s="95" t="s">
        <v>193</v>
      </c>
      <c r="E41" s="96" t="s">
        <v>194</v>
      </c>
      <c r="F41" s="96"/>
      <c r="G41" s="97" t="s">
        <v>195</v>
      </c>
      <c r="H41" s="76"/>
    </row>
    <row r="42" spans="1:8" ht="20.100000000000001" customHeight="1">
      <c r="C42" s="98"/>
      <c r="D42" s="95" t="s">
        <v>196</v>
      </c>
      <c r="E42" s="96" t="s">
        <v>197</v>
      </c>
      <c r="F42" s="96" t="s">
        <v>198</v>
      </c>
      <c r="G42" s="97" t="s">
        <v>199</v>
      </c>
      <c r="H42" s="76"/>
    </row>
    <row r="43" spans="1:8" ht="20.100000000000001" customHeight="1" thickBot="1">
      <c r="C43" s="94" t="s">
        <v>200</v>
      </c>
      <c r="D43" s="95" t="s">
        <v>201</v>
      </c>
      <c r="E43" s="96" t="s">
        <v>202</v>
      </c>
      <c r="F43" s="96" t="s">
        <v>195</v>
      </c>
      <c r="G43" s="99" t="s">
        <v>203</v>
      </c>
      <c r="H43" s="76"/>
    </row>
    <row r="44" spans="1:8" ht="20.100000000000001" customHeight="1">
      <c r="C44" s="100" t="s">
        <v>204</v>
      </c>
      <c r="D44" s="101">
        <f>VLOOKUP($D$7,VLOOKUP!$A$116:$S$144,2)*30+D59</f>
        <v>17940</v>
      </c>
      <c r="E44" s="102">
        <f>+'EXHIBIT C'!F10</f>
        <v>18163</v>
      </c>
      <c r="F44" s="103">
        <f t="shared" ref="F44:F50" si="0">IF(D44=0,"0",(E44/D44-1))</f>
        <v>1.2430323299888579E-2</v>
      </c>
      <c r="G44" s="104" t="str">
        <f t="shared" ref="G44:G50" si="1">IF(OR(F44&gt;3%, F44&lt;-3%),"YES","NO")</f>
        <v>NO</v>
      </c>
      <c r="H44" s="76"/>
    </row>
    <row r="45" spans="1:8" ht="20.100000000000001" customHeight="1">
      <c r="C45" s="105" t="s">
        <v>205</v>
      </c>
      <c r="D45" s="1113">
        <f>VLOOKUP($D$7,VLOOKUP!$A$116:$S$144,5)*30+D60</f>
        <v>101410.4672649601</v>
      </c>
      <c r="E45" s="106">
        <f>+'EXHIBIT C'!F11</f>
        <v>98216</v>
      </c>
      <c r="F45" s="551">
        <f t="shared" si="0"/>
        <v>-3.1500370239038067E-2</v>
      </c>
      <c r="G45" s="552" t="str">
        <f t="shared" si="1"/>
        <v>YES</v>
      </c>
      <c r="H45" s="76"/>
    </row>
    <row r="46" spans="1:8" ht="20.100000000000001" customHeight="1">
      <c r="C46" s="553" t="s">
        <v>206</v>
      </c>
      <c r="D46" s="554">
        <f>VLOOKUP($D$7,VLOOKUP!$A$116:$S$144,8)*30</f>
        <v>44478.939297124598</v>
      </c>
      <c r="E46" s="1014">
        <f>+'EXHIBIT C'!F12</f>
        <v>35016</v>
      </c>
      <c r="F46" s="551">
        <f t="shared" si="0"/>
        <v>-0.21275101085282266</v>
      </c>
      <c r="G46" s="552" t="str">
        <f t="shared" si="1"/>
        <v>YES</v>
      </c>
      <c r="H46" s="76"/>
    </row>
    <row r="47" spans="1:8" ht="20.100000000000001" customHeight="1">
      <c r="C47" s="553" t="s">
        <v>207</v>
      </c>
      <c r="D47" s="554">
        <f>VLOOKUP($D$7,VLOOKUP!$A$116:$S$144,17)*30</f>
        <v>4885.1246261216347</v>
      </c>
      <c r="E47" s="1014">
        <f>+'EXHIBIT C'!F13</f>
        <v>5323</v>
      </c>
      <c r="F47" s="551">
        <f t="shared" si="0"/>
        <v>8.9634432566360278E-2</v>
      </c>
      <c r="G47" s="552" t="str">
        <f t="shared" si="1"/>
        <v>YES</v>
      </c>
      <c r="H47" s="76"/>
    </row>
    <row r="48" spans="1:8" ht="20.100000000000001" customHeight="1">
      <c r="C48" s="553" t="s">
        <v>208</v>
      </c>
      <c r="D48" s="554">
        <f>VLOOKUP($D$7,VLOOKUP!$A$116:$S$144,11)*30</f>
        <v>2720.6484641638226</v>
      </c>
      <c r="E48" s="1014">
        <f>+'EXHIBIT C'!F14</f>
        <v>2956</v>
      </c>
      <c r="F48" s="551">
        <f t="shared" si="0"/>
        <v>8.6505676472433013E-2</v>
      </c>
      <c r="G48" s="552" t="str">
        <f t="shared" si="1"/>
        <v>YES</v>
      </c>
      <c r="H48" s="76"/>
    </row>
    <row r="49" spans="3:8" ht="20.100000000000001" customHeight="1" thickBot="1">
      <c r="C49" s="555" t="s">
        <v>209</v>
      </c>
      <c r="D49" s="556">
        <f>VLOOKUP($D$7,VLOOKUP!$A$116:$S$144,14)*30</f>
        <v>0</v>
      </c>
      <c r="E49" s="557">
        <f>+'EXHIBIT C'!F15</f>
        <v>0</v>
      </c>
      <c r="F49" s="558" t="str">
        <f t="shared" si="0"/>
        <v>0</v>
      </c>
      <c r="G49" s="559" t="str">
        <f t="shared" si="1"/>
        <v>NO</v>
      </c>
      <c r="H49" s="76"/>
    </row>
    <row r="50" spans="3:8" ht="20.100000000000001" customHeight="1" thickBot="1">
      <c r="C50" s="107" t="s">
        <v>52</v>
      </c>
      <c r="D50" s="108">
        <f>SUM(D44:D49)</f>
        <v>171435.17965237013</v>
      </c>
      <c r="E50" s="109">
        <f>+'EXHIBIT C'!F17</f>
        <v>159674</v>
      </c>
      <c r="F50" s="110">
        <f t="shared" si="0"/>
        <v>-6.8604236751284131E-2</v>
      </c>
      <c r="G50" s="111" t="str">
        <f t="shared" si="1"/>
        <v>YES</v>
      </c>
      <c r="H50" s="76"/>
    </row>
    <row r="51" spans="3:8" ht="46.5" customHeight="1" thickBot="1">
      <c r="C51" s="725" t="s">
        <v>210</v>
      </c>
      <c r="D51" s="726"/>
      <c r="E51" s="726"/>
      <c r="F51" s="726"/>
      <c r="G51" s="727"/>
      <c r="H51" s="76"/>
    </row>
    <row r="52" spans="3:8" ht="24.6" customHeight="1" thickBot="1">
      <c r="C52" s="660" t="s">
        <v>211</v>
      </c>
      <c r="D52" s="661"/>
      <c r="E52" s="661"/>
      <c r="F52" s="661"/>
      <c r="G52" s="662"/>
      <c r="H52" s="112"/>
    </row>
    <row r="53" spans="3:8" ht="205.5" customHeight="1" thickBot="1">
      <c r="C53" s="884" t="s">
        <v>212</v>
      </c>
      <c r="D53" s="885"/>
      <c r="E53" s="885"/>
      <c r="F53" s="885"/>
      <c r="G53" s="886"/>
      <c r="H53" s="112"/>
    </row>
    <row r="54" spans="3:8" ht="20.100000000000001" customHeight="1" thickBot="1">
      <c r="C54" s="86"/>
      <c r="D54" s="88"/>
      <c r="E54" s="76"/>
      <c r="F54" s="76"/>
      <c r="G54" s="113"/>
    </row>
    <row r="55" spans="3:8" ht="20.100000000000001" customHeight="1">
      <c r="C55" s="90"/>
      <c r="D55" s="91" t="str">
        <f>D40</f>
        <v>2026-27</v>
      </c>
      <c r="E55" s="91" t="str">
        <f>E40</f>
        <v>2026-27</v>
      </c>
      <c r="F55" s="92"/>
      <c r="G55" s="93"/>
      <c r="H55" s="112"/>
    </row>
    <row r="56" spans="3:8" ht="20.100000000000001" customHeight="1">
      <c r="C56" s="94"/>
      <c r="D56" s="95" t="s">
        <v>213</v>
      </c>
      <c r="E56" s="96" t="s">
        <v>214</v>
      </c>
      <c r="F56" s="96"/>
      <c r="G56" s="99" t="s">
        <v>195</v>
      </c>
      <c r="H56" s="112"/>
    </row>
    <row r="57" spans="3:8" ht="20.100000000000001" customHeight="1">
      <c r="C57" s="98"/>
      <c r="D57" s="95" t="s">
        <v>196</v>
      </c>
      <c r="E57" s="96" t="s">
        <v>197</v>
      </c>
      <c r="F57" s="96" t="s">
        <v>198</v>
      </c>
      <c r="G57" s="99" t="s">
        <v>199</v>
      </c>
      <c r="H57" s="112"/>
    </row>
    <row r="58" spans="3:8" ht="20.100000000000001" customHeight="1" thickBot="1">
      <c r="C58" s="1015" t="s">
        <v>215</v>
      </c>
      <c r="D58" s="1016" t="s">
        <v>201</v>
      </c>
      <c r="E58" s="1017" t="s">
        <v>202</v>
      </c>
      <c r="F58" s="1017" t="s">
        <v>195</v>
      </c>
      <c r="G58" s="1018" t="s">
        <v>216</v>
      </c>
      <c r="H58" s="112"/>
    </row>
    <row r="59" spans="3:8" ht="20.100000000000001" customHeight="1">
      <c r="C59" s="100" t="s">
        <v>204</v>
      </c>
      <c r="D59" s="1114">
        <f>VLOOKUP($D$7,VLOOKUP!$A$116:$S$144,3)*30</f>
        <v>0</v>
      </c>
      <c r="E59" s="114">
        <f>+'EXHIBIT C'!D19</f>
        <v>175</v>
      </c>
      <c r="F59" s="1019" t="str">
        <f t="shared" ref="F59:F65" si="2">IF(D59=0,"0",(E59/D59-1))</f>
        <v>0</v>
      </c>
      <c r="G59" s="1020" t="str">
        <f>IF(OR(F59&gt;5%, F59&lt;-5%),"YES","NO")</f>
        <v>NO</v>
      </c>
    </row>
    <row r="60" spans="3:8" ht="20.100000000000001" customHeight="1">
      <c r="C60" s="105" t="s">
        <v>205</v>
      </c>
      <c r="D60" s="1114">
        <f>VLOOKUP($D$7,VLOOKUP!$A$116:$S$144,6)*30</f>
        <v>3288.5988674371629</v>
      </c>
      <c r="E60" s="115">
        <f>+'EXHIBIT C'!D20</f>
        <v>3182</v>
      </c>
      <c r="F60" s="1019">
        <f t="shared" si="2"/>
        <v>-3.2414676199239989E-2</v>
      </c>
      <c r="G60" s="1020" t="str">
        <f t="shared" ref="G60:G65" si="3">IF(OR(F60&gt;5%, F60&lt;-5%),"YES","NO")</f>
        <v>NO</v>
      </c>
      <c r="H60" s="76"/>
    </row>
    <row r="61" spans="3:8" ht="20.100000000000001" customHeight="1">
      <c r="C61" s="553" t="s">
        <v>206</v>
      </c>
      <c r="D61" s="1021">
        <f>VLOOKUP($D$7,VLOOKUP!$A$116:$S$144,9)*30</f>
        <v>1007.0846645367412</v>
      </c>
      <c r="E61" s="1022">
        <f>+'EXHIBIT C'!D21</f>
        <v>1152</v>
      </c>
      <c r="F61" s="1019">
        <f t="shared" si="2"/>
        <v>0.14389588141521337</v>
      </c>
      <c r="G61" s="1020" t="str">
        <f t="shared" si="3"/>
        <v>YES</v>
      </c>
      <c r="H61" s="76"/>
    </row>
    <row r="62" spans="3:8" ht="20.100000000000001" customHeight="1">
      <c r="C62" s="553" t="s">
        <v>207</v>
      </c>
      <c r="D62" s="1021">
        <f>VLOOKUP($D$7,VLOOKUP!$A$116:$S$144,18)*30</f>
        <v>4.8753738783649059</v>
      </c>
      <c r="E62" s="1022">
        <f>+'EXHIBIT C'!D22</f>
        <v>25</v>
      </c>
      <c r="F62" s="1019">
        <f t="shared" si="2"/>
        <v>4.1278118609406951</v>
      </c>
      <c r="G62" s="1020" t="str">
        <f t="shared" si="3"/>
        <v>YES</v>
      </c>
      <c r="H62" s="76"/>
    </row>
    <row r="63" spans="3:8" ht="20.100000000000001" customHeight="1">
      <c r="C63" s="553" t="s">
        <v>208</v>
      </c>
      <c r="D63" s="1021">
        <f>VLOOKUP($D$7,VLOOKUP!$A$116:$S$144,12)*30</f>
        <v>489.3515358361775</v>
      </c>
      <c r="E63" s="1022">
        <f>+'EXHIBIT C'!D23</f>
        <v>411</v>
      </c>
      <c r="F63" s="1019">
        <f t="shared" si="2"/>
        <v>-0.16011298646952166</v>
      </c>
      <c r="G63" s="1020" t="str">
        <f t="shared" si="3"/>
        <v>YES</v>
      </c>
      <c r="H63" s="76"/>
    </row>
    <row r="64" spans="3:8" ht="20.100000000000001" customHeight="1" thickBot="1">
      <c r="C64" s="555" t="s">
        <v>209</v>
      </c>
      <c r="D64" s="1023">
        <f>VLOOKUP($D$7,VLOOKUP!$A$116:$S$144,15)*30</f>
        <v>0</v>
      </c>
      <c r="E64" s="1024">
        <f>+'EXHIBIT C'!D24</f>
        <v>0</v>
      </c>
      <c r="F64" s="560" t="str">
        <f t="shared" si="2"/>
        <v>0</v>
      </c>
      <c r="G64" s="561" t="str">
        <f t="shared" si="3"/>
        <v>NO</v>
      </c>
      <c r="H64" s="76"/>
    </row>
    <row r="65" spans="1:8" ht="20.100000000000001" customHeight="1" thickBot="1">
      <c r="C65" s="107" t="s">
        <v>52</v>
      </c>
      <c r="D65" s="116">
        <f>SUM(D59:D64)</f>
        <v>4789.9104416884466</v>
      </c>
      <c r="E65" s="117">
        <f>SUM(E59:E64)</f>
        <v>4945</v>
      </c>
      <c r="F65" s="118">
        <f t="shared" si="2"/>
        <v>3.2378383729630755E-2</v>
      </c>
      <c r="G65" s="119" t="str">
        <f t="shared" si="3"/>
        <v>NO</v>
      </c>
      <c r="H65" s="76"/>
    </row>
    <row r="66" spans="1:8" ht="42" customHeight="1" thickBot="1">
      <c r="C66" s="725" t="s">
        <v>217</v>
      </c>
      <c r="D66" s="726"/>
      <c r="E66" s="726"/>
      <c r="F66" s="726"/>
      <c r="G66" s="727"/>
      <c r="H66" s="76"/>
    </row>
    <row r="67" spans="1:8" ht="24.6" customHeight="1" thickBot="1">
      <c r="A67" s="86"/>
      <c r="B67" s="86"/>
      <c r="C67" s="657" t="s">
        <v>211</v>
      </c>
      <c r="D67" s="658"/>
      <c r="E67" s="658"/>
      <c r="F67" s="658"/>
      <c r="G67" s="659"/>
      <c r="H67" s="76"/>
    </row>
    <row r="68" spans="1:8" ht="227.25" customHeight="1" thickBot="1">
      <c r="A68" s="86"/>
      <c r="B68" s="86"/>
      <c r="C68" s="887" t="s">
        <v>218</v>
      </c>
      <c r="D68" s="888"/>
      <c r="E68" s="888"/>
      <c r="F68" s="888"/>
      <c r="G68" s="889"/>
      <c r="H68" s="76"/>
    </row>
    <row r="69" spans="1:8" ht="20.100000000000001" customHeight="1">
      <c r="C69" s="10" t="s">
        <v>8</v>
      </c>
      <c r="H69" s="76"/>
    </row>
    <row r="70" spans="1:8" ht="20.100000000000001" customHeight="1">
      <c r="H70" s="76"/>
    </row>
    <row r="71" spans="1:8" ht="20.100000000000001" customHeight="1">
      <c r="A71" s="85" t="s">
        <v>219</v>
      </c>
      <c r="B71" s="85"/>
      <c r="C71" s="21" t="s">
        <v>220</v>
      </c>
      <c r="D71" s="76"/>
      <c r="E71" s="76"/>
      <c r="F71" s="76"/>
      <c r="G71" s="76"/>
      <c r="H71" s="76"/>
    </row>
    <row r="72" spans="1:8" ht="20.100000000000001" customHeight="1">
      <c r="A72" s="86"/>
      <c r="B72" s="86"/>
      <c r="C72" s="76"/>
      <c r="D72" s="76"/>
      <c r="E72" s="76"/>
      <c r="F72" s="76"/>
      <c r="G72" s="76"/>
      <c r="H72" s="76"/>
    </row>
    <row r="73" spans="1:8" ht="20.100000000000001" customHeight="1">
      <c r="A73" s="86"/>
      <c r="B73" s="86"/>
      <c r="C73" s="120" t="s">
        <v>221</v>
      </c>
      <c r="D73" s="76"/>
      <c r="E73" s="76"/>
      <c r="F73" s="76"/>
      <c r="G73" s="76"/>
      <c r="H73" s="76"/>
    </row>
    <row r="74" spans="1:8" ht="20.100000000000001" customHeight="1">
      <c r="A74" s="86"/>
      <c r="B74" s="86"/>
      <c r="C74" s="1115" t="str">
        <f>IF(+'EXHIBIT A'!E19='EXHIBIT C'!B70,"Equal","Not Equal")</f>
        <v>Equal</v>
      </c>
      <c r="D74" s="76" t="s">
        <v>222</v>
      </c>
      <c r="E74" s="76"/>
      <c r="F74" s="76"/>
      <c r="G74" s="76"/>
      <c r="H74" s="76"/>
    </row>
    <row r="75" spans="1:8" ht="20.100000000000001" customHeight="1">
      <c r="A75" s="86"/>
      <c r="B75" s="86"/>
      <c r="C75" s="1025" t="str">
        <f>IF('EXHIBIT C'!B70=SUM('EXHIBIT D'!G133+'EXHIBIT D'!G134),"Equal","Not Equal")</f>
        <v>Equal</v>
      </c>
      <c r="D75" s="76" t="s">
        <v>223</v>
      </c>
      <c r="E75" s="76"/>
      <c r="F75" s="76"/>
      <c r="G75" s="76"/>
    </row>
    <row r="76" spans="1:8" ht="20.100000000000001" customHeight="1">
      <c r="A76" s="86"/>
      <c r="B76" s="86"/>
      <c r="C76" s="121" t="s">
        <v>224</v>
      </c>
      <c r="D76" s="76"/>
      <c r="E76" s="76"/>
      <c r="F76" s="76"/>
      <c r="G76" s="76"/>
    </row>
    <row r="77" spans="1:8" ht="20.100000000000001" customHeight="1">
      <c r="C77" s="1115" t="str">
        <f>IF((+'EXHIBIT A'!E26)='EXHIBIT C'!B61,"Equal","Not Equal")</f>
        <v>Equal</v>
      </c>
      <c r="D77" s="76" t="s">
        <v>225</v>
      </c>
      <c r="E77" s="76"/>
      <c r="F77" s="76"/>
      <c r="G77" s="76"/>
      <c r="H77" s="76"/>
    </row>
    <row r="78" spans="1:8" ht="20.100000000000001" customHeight="1">
      <c r="A78" s="86"/>
      <c r="B78" s="86"/>
      <c r="C78" s="1025" t="str">
        <f>IF('EXHIBIT C'!B61=SUM('EXHIBIT D'!G222+'EXHIBIT D'!G223),"Equal","Not Equal")</f>
        <v>Equal</v>
      </c>
      <c r="D78" s="76" t="s">
        <v>226</v>
      </c>
      <c r="E78" s="76"/>
      <c r="F78" s="76"/>
      <c r="G78" s="76"/>
      <c r="H78" s="76"/>
    </row>
    <row r="79" spans="1:8" ht="20.100000000000001" customHeight="1">
      <c r="A79" s="85"/>
      <c r="B79" s="85"/>
      <c r="C79" s="122"/>
      <c r="D79" s="76"/>
      <c r="E79" s="76"/>
      <c r="F79" s="76"/>
      <c r="G79" s="76"/>
      <c r="H79" s="76"/>
    </row>
    <row r="80" spans="1:8" ht="20.100000000000001" customHeight="1">
      <c r="A80" s="85"/>
      <c r="B80" s="85"/>
      <c r="C80" s="122"/>
      <c r="D80" s="76"/>
      <c r="E80" s="76"/>
      <c r="F80" s="76"/>
      <c r="G80" s="76"/>
      <c r="H80" s="76"/>
    </row>
    <row r="81" spans="1:8" ht="21.6" customHeight="1">
      <c r="A81" s="123" t="s">
        <v>227</v>
      </c>
      <c r="B81" s="85"/>
      <c r="C81" s="728" t="s">
        <v>228</v>
      </c>
      <c r="D81" s="728"/>
      <c r="E81" s="728"/>
      <c r="F81" s="728"/>
      <c r="G81" s="728"/>
      <c r="H81" s="655"/>
    </row>
    <row r="82" spans="1:8" ht="20.100000000000001" customHeight="1" thickBot="1">
      <c r="A82" s="86"/>
      <c r="B82" s="86"/>
      <c r="C82" s="76"/>
      <c r="D82" s="76"/>
      <c r="E82" s="124"/>
      <c r="F82" s="76"/>
      <c r="G82" s="76"/>
      <c r="H82" s="76"/>
    </row>
    <row r="83" spans="1:8" ht="38.1" customHeight="1">
      <c r="A83" s="86"/>
      <c r="B83" s="86"/>
      <c r="C83" s="125" t="s">
        <v>229</v>
      </c>
      <c r="D83" s="126" t="s">
        <v>230</v>
      </c>
      <c r="E83" s="125" t="s">
        <v>231</v>
      </c>
      <c r="F83" s="125" t="s">
        <v>195</v>
      </c>
      <c r="G83" s="76"/>
      <c r="H83" s="76"/>
    </row>
    <row r="84" spans="1:8" ht="20.100000000000001" customHeight="1">
      <c r="A84" s="86"/>
      <c r="B84" s="86"/>
      <c r="C84" s="1116" t="s">
        <v>232</v>
      </c>
      <c r="D84" s="562">
        <f>VLOOKUP($D$7,VLOOKUP!$A$7:$E$35,2)</f>
        <v>45068196</v>
      </c>
      <c r="E84" s="1117">
        <f>+'EXHIBIT D'!G77</f>
        <v>45068196</v>
      </c>
      <c r="F84" s="1117">
        <f>D84-E84</f>
        <v>0</v>
      </c>
      <c r="G84" s="76"/>
      <c r="H84" s="76"/>
    </row>
    <row r="85" spans="1:8" ht="20.100000000000001" customHeight="1">
      <c r="A85" s="86"/>
      <c r="B85" s="86"/>
      <c r="C85" s="1118" t="s">
        <v>137</v>
      </c>
      <c r="D85" s="562">
        <f>VLOOKUP($D$7,VLOOKUP!$A$157:$B$185,2)</f>
        <v>350043</v>
      </c>
      <c r="E85" s="1117">
        <f>'EXHIBIT D'!G79</f>
        <v>350043</v>
      </c>
      <c r="F85" s="1117">
        <f>D85-E85</f>
        <v>0</v>
      </c>
      <c r="G85" s="76"/>
      <c r="H85" s="76"/>
    </row>
    <row r="86" spans="1:8" ht="20.100000000000001" customHeight="1">
      <c r="A86" s="86"/>
      <c r="B86" s="86"/>
      <c r="C86" s="1118" t="s">
        <v>233</v>
      </c>
      <c r="D86" s="562">
        <f>VLOOKUP($D$7,VLOOKUP!$A$7:$E$35,3)</f>
        <v>5998631</v>
      </c>
      <c r="E86" s="1117">
        <f>'EXHIBIT D'!G82</f>
        <v>5998631</v>
      </c>
      <c r="F86" s="1117">
        <f>D86-E86</f>
        <v>0</v>
      </c>
      <c r="G86" s="76"/>
      <c r="H86" s="76"/>
    </row>
    <row r="87" spans="1:8" ht="20.100000000000001" customHeight="1" thickBot="1">
      <c r="A87" s="85"/>
      <c r="B87" s="85"/>
      <c r="C87" s="1026" t="s">
        <v>138</v>
      </c>
      <c r="D87" s="562">
        <f>VLOOKUP($D$7,VLOOKUP!$A$192:$B$220,2)</f>
        <v>1168387</v>
      </c>
      <c r="E87" s="1027">
        <f>'EXHIBIT D'!G78</f>
        <v>1168387</v>
      </c>
      <c r="F87" s="1117">
        <f>D87-E87</f>
        <v>0</v>
      </c>
      <c r="G87" s="76"/>
      <c r="H87" s="76"/>
    </row>
    <row r="88" spans="1:8" ht="20.100000000000001" customHeight="1" thickBot="1">
      <c r="A88" s="85"/>
      <c r="B88" s="85"/>
      <c r="C88" s="127" t="s">
        <v>234</v>
      </c>
      <c r="D88" s="128">
        <f>SUM(D84:D87)</f>
        <v>52585257</v>
      </c>
      <c r="E88" s="128">
        <f>SUM(E84:E87)</f>
        <v>52585257</v>
      </c>
      <c r="F88" s="128">
        <f>SUM(F84:F87)</f>
        <v>0</v>
      </c>
      <c r="G88" s="76"/>
      <c r="H88" s="76"/>
    </row>
    <row r="89" spans="1:8">
      <c r="A89" s="85"/>
      <c r="B89" s="85"/>
      <c r="C89" s="129"/>
      <c r="D89" s="129"/>
      <c r="E89" s="129"/>
      <c r="F89" s="76"/>
      <c r="G89" s="76"/>
      <c r="H89" s="76"/>
    </row>
    <row r="90" spans="1:8" ht="20.100000000000001" customHeight="1">
      <c r="A90" s="85"/>
      <c r="B90" s="85"/>
      <c r="C90" s="129"/>
      <c r="D90" s="129"/>
      <c r="E90" s="129"/>
      <c r="F90" s="76"/>
      <c r="G90" s="76"/>
      <c r="H90" s="76"/>
    </row>
    <row r="91" spans="1:8" ht="20.100000000000001" customHeight="1">
      <c r="A91" s="85" t="s">
        <v>235</v>
      </c>
      <c r="B91" s="85"/>
      <c r="C91" s="85" t="s">
        <v>236</v>
      </c>
      <c r="D91" s="76"/>
      <c r="E91" s="76"/>
      <c r="F91" s="76"/>
      <c r="G91" s="76"/>
      <c r="H91" s="76"/>
    </row>
    <row r="92" spans="1:8" ht="20.100000000000001" customHeight="1">
      <c r="A92" s="86"/>
      <c r="B92" s="86"/>
      <c r="C92" s="85"/>
      <c r="D92" s="76"/>
      <c r="E92" s="76"/>
      <c r="F92" s="76"/>
      <c r="G92" s="76"/>
      <c r="H92" s="76"/>
    </row>
    <row r="93" spans="1:8" ht="20.100000000000001" customHeight="1">
      <c r="A93" s="86"/>
      <c r="B93" s="86"/>
      <c r="C93" s="1115" t="str">
        <f>IF(+'EXHIBIT E'!B21=+'EXHIBIT D'!G194,"Equal","Not Equal")</f>
        <v>Equal</v>
      </c>
      <c r="D93" s="76" t="s">
        <v>237</v>
      </c>
      <c r="E93" s="76"/>
      <c r="F93" s="76"/>
      <c r="G93" s="81"/>
      <c r="H93" s="76"/>
    </row>
    <row r="94" spans="1:8" ht="20.100000000000001" customHeight="1">
      <c r="A94" s="86"/>
      <c r="B94" s="86"/>
      <c r="C94" s="1115" t="str">
        <f>IF(+'EXHIBIT E'!C21=+'EXHIBIT D'!G228,"Equal","Not Equal")</f>
        <v>Equal</v>
      </c>
      <c r="D94" s="76" t="s">
        <v>238</v>
      </c>
      <c r="E94" s="130"/>
      <c r="F94" s="76"/>
      <c r="G94" s="81"/>
      <c r="H94" s="76"/>
    </row>
    <row r="95" spans="1:8" ht="20.100000000000001" customHeight="1">
      <c r="C95" s="1115" t="str">
        <f>IF(+'EXHIBIT E'!D21=+'EXHIBIT D'!G246,"Equal","Not Equal")</f>
        <v>Equal</v>
      </c>
      <c r="D95" s="76" t="s">
        <v>239</v>
      </c>
      <c r="E95" s="130"/>
      <c r="F95" s="76"/>
      <c r="G95" s="76"/>
      <c r="H95" s="76"/>
    </row>
    <row r="96" spans="1:8" ht="20.100000000000001" customHeight="1">
      <c r="A96" s="85"/>
      <c r="B96" s="85"/>
      <c r="C96" s="1115" t="str">
        <f>IF(+'EXHIBIT E'!E21=+'EXHIBIT D'!G248,"Equal","Not Equal")</f>
        <v>Equal</v>
      </c>
      <c r="D96" s="131" t="s">
        <v>52</v>
      </c>
      <c r="E96" s="130"/>
      <c r="F96" s="76"/>
      <c r="G96" s="81"/>
      <c r="H96" s="76"/>
    </row>
    <row r="97" spans="1:8" ht="20.100000000000001" customHeight="1">
      <c r="A97" s="86"/>
      <c r="B97" s="86"/>
      <c r="E97" s="76"/>
      <c r="F97" s="76"/>
      <c r="G97" s="112"/>
      <c r="H97" s="76"/>
    </row>
    <row r="98" spans="1:8" ht="20.100000000000001" customHeight="1">
      <c r="A98" s="86"/>
      <c r="B98" s="86"/>
      <c r="E98" s="76"/>
      <c r="F98" s="76"/>
      <c r="G98" s="76"/>
      <c r="H98" s="76"/>
    </row>
    <row r="99" spans="1:8" ht="42" customHeight="1">
      <c r="A99" s="132" t="s">
        <v>240</v>
      </c>
      <c r="B99" s="133"/>
      <c r="C99" s="729" t="s">
        <v>241</v>
      </c>
      <c r="D99" s="729"/>
      <c r="E99" s="729"/>
      <c r="F99" s="729"/>
      <c r="G99" s="664"/>
      <c r="H99" s="664"/>
    </row>
    <row r="100" spans="1:8" ht="20.100000000000001" customHeight="1">
      <c r="A100" s="132"/>
      <c r="B100" s="133"/>
      <c r="C100" s="664"/>
      <c r="D100" s="664"/>
      <c r="E100" s="664"/>
      <c r="F100" s="664"/>
      <c r="G100" s="76"/>
      <c r="H100" s="76"/>
    </row>
    <row r="101" spans="1:8" ht="20.100000000000001" customHeight="1">
      <c r="C101" s="1119">
        <f>+'EXHIBIT A'!E40</f>
        <v>21548903</v>
      </c>
      <c r="D101" s="651" t="s">
        <v>242</v>
      </c>
      <c r="E101" s="651"/>
      <c r="F101" s="651"/>
      <c r="G101" s="76"/>
      <c r="H101" s="76"/>
    </row>
    <row r="102" spans="1:8" ht="20.100000000000001" customHeight="1">
      <c r="A102" s="83"/>
      <c r="B102" s="83"/>
      <c r="C102" s="1119">
        <f>'EXHIBIT D'!G266-'EXHIBIT D'!G252-'EXHIBIT D'!G264</f>
        <v>21548903</v>
      </c>
      <c r="D102" s="653" t="s">
        <v>243</v>
      </c>
      <c r="E102" s="653"/>
      <c r="F102" s="653"/>
      <c r="G102" s="76"/>
      <c r="H102" s="76"/>
    </row>
    <row r="103" spans="1:8" ht="66.599999999999994" customHeight="1">
      <c r="A103" s="134"/>
      <c r="B103" s="134"/>
      <c r="C103" s="1120">
        <f>C101-C102</f>
        <v>0</v>
      </c>
      <c r="D103" s="730" t="s">
        <v>244</v>
      </c>
      <c r="E103" s="730"/>
      <c r="F103" s="730"/>
      <c r="G103" s="730"/>
      <c r="H103" s="76"/>
    </row>
    <row r="104" spans="1:8" ht="20.100000000000001" customHeight="1">
      <c r="C104" s="135"/>
      <c r="E104" s="76"/>
      <c r="F104" s="76"/>
      <c r="G104" s="76"/>
      <c r="H104" s="76"/>
    </row>
    <row r="105" spans="1:8" ht="20.100000000000001" customHeight="1">
      <c r="C105" s="135"/>
      <c r="D105" s="76"/>
      <c r="E105" s="76"/>
      <c r="F105" s="76"/>
      <c r="G105" s="76"/>
      <c r="H105" s="76"/>
    </row>
    <row r="106" spans="1:8" ht="63" customHeight="1">
      <c r="A106" s="136" t="s">
        <v>245</v>
      </c>
      <c r="B106" s="83"/>
      <c r="C106" s="723" t="s">
        <v>246</v>
      </c>
      <c r="D106" s="723"/>
      <c r="E106" s="723"/>
      <c r="F106" s="723"/>
      <c r="G106" s="723"/>
      <c r="H106" s="652"/>
    </row>
    <row r="107" spans="1:8" ht="20.100000000000001" customHeight="1">
      <c r="A107" s="134"/>
      <c r="B107" s="134"/>
    </row>
    <row r="108" spans="1:8" ht="24.75" customHeight="1">
      <c r="A108" s="134"/>
      <c r="B108" s="134"/>
      <c r="C108" s="137">
        <f>'EXHIBIT A'!E14</f>
        <v>22956519</v>
      </c>
      <c r="D108" s="10" t="s">
        <v>247</v>
      </c>
    </row>
    <row r="109" spans="1:8" ht="26.25" customHeight="1">
      <c r="A109" s="134"/>
      <c r="B109" s="134"/>
      <c r="C109" s="563">
        <f>'EXHIBIT A'!E36</f>
        <v>22956519</v>
      </c>
      <c r="D109" s="10" t="s">
        <v>248</v>
      </c>
    </row>
    <row r="110" spans="1:8" ht="26.1" customHeight="1">
      <c r="A110" s="134"/>
      <c r="B110" s="134"/>
      <c r="C110" s="1028">
        <f>C108-C109</f>
        <v>0</v>
      </c>
      <c r="D110" s="77" t="s">
        <v>249</v>
      </c>
      <c r="E110" s="77"/>
      <c r="F110" s="77"/>
      <c r="G110" s="77"/>
    </row>
    <row r="111" spans="1:8" ht="20.100000000000001" customHeight="1">
      <c r="A111" s="134"/>
      <c r="B111" s="134"/>
      <c r="C111" s="137"/>
    </row>
    <row r="112" spans="1:8" ht="26.1" customHeight="1">
      <c r="A112" s="134"/>
      <c r="B112" s="134"/>
      <c r="C112" s="1120">
        <f>'EXHIBIT D'!G186</f>
        <v>0</v>
      </c>
      <c r="D112" s="131" t="s">
        <v>250</v>
      </c>
      <c r="E112" s="80"/>
      <c r="F112" s="80"/>
    </row>
    <row r="113" spans="1:8" ht="20.100000000000001" customHeight="1"/>
    <row r="114" spans="1:8" ht="38.450000000000003" customHeight="1">
      <c r="C114" s="920">
        <f>C110+C112</f>
        <v>0</v>
      </c>
      <c r="D114" s="730" t="s">
        <v>251</v>
      </c>
      <c r="E114" s="730"/>
      <c r="F114" s="730"/>
      <c r="G114" s="730"/>
    </row>
    <row r="115" spans="1:8" ht="20.100000000000001" customHeight="1">
      <c r="C115" s="137"/>
      <c r="D115" s="9"/>
    </row>
    <row r="116" spans="1:8" ht="20.100000000000001" customHeight="1">
      <c r="A116" s="20"/>
      <c r="B116" s="20"/>
      <c r="C116" s="20"/>
    </row>
    <row r="117" spans="1:8" ht="39" customHeight="1">
      <c r="A117" s="138" t="s">
        <v>252</v>
      </c>
      <c r="B117" s="20"/>
      <c r="C117" s="723" t="s">
        <v>253</v>
      </c>
      <c r="D117" s="723"/>
      <c r="E117" s="723"/>
      <c r="F117" s="723"/>
      <c r="G117" s="723"/>
      <c r="H117" s="652"/>
    </row>
    <row r="118" spans="1:8" ht="20.100000000000001" customHeight="1"/>
    <row r="119" spans="1:8" ht="20.100000000000001" customHeight="1">
      <c r="C119" s="139">
        <f>IF('EXHIBIT G'!D117=0,"No Credit Hours or Not Applicable",('EXHIBIT G'!D117/'EXHIBIT C'!F10))</f>
        <v>91.79001266310631</v>
      </c>
      <c r="D119" s="10" t="s">
        <v>118</v>
      </c>
    </row>
    <row r="120" spans="1:8" ht="20.100000000000001" customHeight="1">
      <c r="C120" s="140"/>
    </row>
    <row r="121" spans="1:8" ht="20.100000000000001" customHeight="1">
      <c r="C121" s="141">
        <f>IF('EXHIBIT G'!D118=0,"No Credit Hours or Not Applicable",('EXHIBIT G'!D118/'EXHIBIT C'!D19))</f>
        <v>289.30857142857144</v>
      </c>
      <c r="D121" s="10" t="s">
        <v>254</v>
      </c>
      <c r="F121" s="20"/>
      <c r="G121" s="20"/>
      <c r="H121" s="20"/>
    </row>
    <row r="122" spans="1:8" ht="20.100000000000001" customHeight="1">
      <c r="C122" s="142"/>
      <c r="F122" s="20"/>
      <c r="G122" s="20"/>
      <c r="H122" s="20"/>
    </row>
    <row r="123" spans="1:8" ht="20.100000000000001" customHeight="1">
      <c r="C123" s="666"/>
      <c r="D123" s="667"/>
      <c r="E123" s="667"/>
    </row>
    <row r="124" spans="1:8" ht="20.100000000000001" customHeight="1">
      <c r="A124" s="20" t="s">
        <v>255</v>
      </c>
      <c r="B124" s="20"/>
      <c r="C124" s="20" t="s">
        <v>256</v>
      </c>
    </row>
    <row r="125" spans="1:8" ht="20.100000000000001" customHeight="1"/>
    <row r="126" spans="1:8" ht="42.6" customHeight="1">
      <c r="C126" s="919" t="str">
        <f>IF(+'EXHIBIT G'!D117='EXHIBIT C'!H10,"Equal","Not Equal")</f>
        <v>Equal</v>
      </c>
      <c r="D126" s="731" t="s">
        <v>257</v>
      </c>
      <c r="E126" s="731"/>
      <c r="F126" s="731"/>
      <c r="G126" s="731"/>
    </row>
    <row r="127" spans="1:8" ht="20.100000000000001" customHeight="1">
      <c r="C127" s="140"/>
      <c r="D127" s="78"/>
      <c r="E127" s="78"/>
      <c r="F127" s="78"/>
      <c r="G127" s="78"/>
    </row>
    <row r="128" spans="1:8" ht="20.100000000000001" customHeight="1"/>
    <row r="129" spans="1:8" ht="58.35" customHeight="1">
      <c r="C129" s="919" t="str">
        <f>IF(+'EXHIBIT G'!D118='EXHIBIT C'!F19,"Equal","Not Equal")</f>
        <v>Equal</v>
      </c>
      <c r="D129" s="731" t="s">
        <v>258</v>
      </c>
      <c r="E129" s="731"/>
      <c r="F129" s="731"/>
      <c r="G129" s="731"/>
    </row>
    <row r="130" spans="1:8" ht="20.100000000000001" customHeight="1">
      <c r="C130" s="140"/>
      <c r="D130" s="78"/>
      <c r="E130" s="78"/>
      <c r="F130" s="78"/>
      <c r="G130" s="78"/>
    </row>
    <row r="131" spans="1:8" ht="20.100000000000001" customHeight="1">
      <c r="C131" s="140"/>
      <c r="D131" s="665"/>
      <c r="E131" s="665"/>
      <c r="F131" s="665"/>
      <c r="G131" s="665"/>
    </row>
    <row r="132" spans="1:8" ht="20.100000000000001" customHeight="1">
      <c r="C132" s="9"/>
      <c r="D132" s="665"/>
      <c r="E132" s="665"/>
      <c r="F132" s="665"/>
      <c r="G132" s="665"/>
    </row>
    <row r="133" spans="1:8" ht="62.1" customHeight="1">
      <c r="A133" s="138" t="s">
        <v>259</v>
      </c>
      <c r="B133" s="20"/>
      <c r="C133" s="723" t="s">
        <v>260</v>
      </c>
      <c r="D133" s="723"/>
      <c r="E133" s="723"/>
      <c r="F133" s="723"/>
      <c r="G133" s="723"/>
      <c r="H133" s="652"/>
    </row>
    <row r="134" spans="1:8" ht="20.100000000000001" customHeight="1"/>
    <row r="135" spans="1:8" ht="20.100000000000001" customHeight="1">
      <c r="C135" s="919" t="str">
        <f>IF(+'EXHIBIT G'!F112='EXHIBIT G'!F128,"Equal","Not Equal")</f>
        <v>Equal</v>
      </c>
      <c r="D135" s="651" t="s">
        <v>261</v>
      </c>
      <c r="E135" s="651"/>
      <c r="F135" s="651"/>
    </row>
    <row r="136" spans="1:8" ht="20.100000000000001" customHeight="1" thickBot="1">
      <c r="C136" s="9"/>
    </row>
    <row r="137" spans="1:8" ht="24.6" customHeight="1" thickBot="1">
      <c r="C137" s="660" t="s">
        <v>262</v>
      </c>
      <c r="D137" s="661"/>
      <c r="E137" s="661"/>
      <c r="F137" s="661"/>
      <c r="G137" s="662"/>
      <c r="H137" s="20"/>
    </row>
    <row r="138" spans="1:8" ht="199.5" customHeight="1" thickBot="1">
      <c r="C138" s="890"/>
      <c r="D138" s="891"/>
      <c r="E138" s="891"/>
      <c r="F138" s="891"/>
      <c r="G138" s="892"/>
      <c r="H138" s="143"/>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 right="0" top="0" bottom="0" header="0" footer="0"/>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45" zoomScale="55" zoomScaleNormal="55" zoomScalePageLayoutView="50" workbookViewId="0">
      <selection activeCell="K9" sqref="K9"/>
    </sheetView>
  </sheetViews>
  <sheetFormatPr defaultColWidth="9.140625" defaultRowHeight="12.75"/>
  <cols>
    <col min="1" max="1" width="98.28515625" style="161" customWidth="1"/>
    <col min="2" max="2" width="18" style="161" customWidth="1"/>
    <col min="3" max="4" width="16.42578125" style="161" customWidth="1"/>
    <col min="5" max="6" width="22.42578125" style="161" customWidth="1"/>
    <col min="7" max="7" width="21.28515625" style="161" customWidth="1"/>
    <col min="8" max="8" width="20.28515625" style="161" bestFit="1" customWidth="1"/>
    <col min="9" max="9" width="20.28515625" style="161" customWidth="1"/>
    <col min="10" max="10" width="2" style="161" customWidth="1"/>
    <col min="11" max="11" width="21" style="161" bestFit="1" customWidth="1"/>
    <col min="12" max="12" width="19.140625" style="161" customWidth="1"/>
    <col min="13" max="13" width="5.7109375" style="161" customWidth="1"/>
    <col min="14" max="16384" width="9.140625" style="161"/>
  </cols>
  <sheetData>
    <row r="1" spans="1:18" s="261" customFormat="1" ht="23.1" customHeight="1">
      <c r="I1" s="301" t="s">
        <v>263</v>
      </c>
      <c r="L1" s="301"/>
      <c r="M1" s="301"/>
      <c r="N1" s="301"/>
      <c r="O1" s="301"/>
      <c r="P1" s="301"/>
      <c r="Q1" s="301"/>
      <c r="R1" s="301"/>
    </row>
    <row r="2" spans="1:18" s="261" customFormat="1" ht="20.100000000000001" customHeight="1"/>
    <row r="3" spans="1:18" s="261" customFormat="1" ht="20.100000000000001" customHeight="1">
      <c r="A3" s="732" t="s">
        <v>10</v>
      </c>
      <c r="B3" s="732"/>
      <c r="C3" s="732"/>
      <c r="D3" s="732"/>
      <c r="E3" s="732"/>
      <c r="F3" s="732"/>
      <c r="G3" s="732"/>
      <c r="H3" s="732"/>
      <c r="I3" s="441"/>
      <c r="J3" s="260"/>
      <c r="K3" s="260"/>
    </row>
    <row r="4" spans="1:18" s="261" customFormat="1" ht="20.100000000000001" customHeight="1">
      <c r="A4" s="732" t="s">
        <v>140</v>
      </c>
      <c r="B4" s="732"/>
      <c r="C4" s="732"/>
      <c r="D4" s="732"/>
      <c r="E4" s="732"/>
      <c r="F4" s="732"/>
      <c r="G4" s="732"/>
      <c r="H4" s="732"/>
      <c r="I4" s="441"/>
    </row>
    <row r="5" spans="1:18" s="261" customFormat="1" ht="24" customHeight="1">
      <c r="A5" s="732" t="s">
        <v>264</v>
      </c>
      <c r="B5" s="732"/>
      <c r="C5" s="732"/>
      <c r="D5" s="732"/>
      <c r="E5" s="732"/>
      <c r="F5" s="732"/>
      <c r="G5" s="732"/>
      <c r="H5" s="732"/>
      <c r="I5" s="441"/>
    </row>
    <row r="6" spans="1:18" s="261" customFormat="1" ht="24" customHeight="1">
      <c r="A6" s="732" t="s">
        <v>265</v>
      </c>
      <c r="B6" s="732"/>
      <c r="C6" s="732"/>
      <c r="D6" s="732"/>
      <c r="E6" s="732"/>
      <c r="F6" s="732"/>
      <c r="G6" s="732"/>
      <c r="H6" s="732"/>
      <c r="I6" s="441"/>
    </row>
    <row r="7" spans="1:18" s="261" customFormat="1" ht="20.100000000000001" customHeight="1">
      <c r="A7" s="732"/>
      <c r="B7" s="732"/>
      <c r="C7" s="732"/>
      <c r="D7" s="732"/>
      <c r="E7" s="732"/>
      <c r="F7" s="732"/>
      <c r="G7" s="732"/>
      <c r="H7" s="732"/>
      <c r="I7" s="441"/>
    </row>
    <row r="8" spans="1:18" s="261" customFormat="1" ht="25.35" customHeight="1" thickBot="1">
      <c r="A8" s="732"/>
      <c r="B8" s="734"/>
      <c r="C8" s="732" t="s">
        <v>143</v>
      </c>
      <c r="D8" s="1029" t="str">
        <f>'CHECK SHEET'!D7</f>
        <v>Polk State College</v>
      </c>
      <c r="E8" s="1029"/>
      <c r="F8" s="1029"/>
      <c r="G8" s="1029"/>
      <c r="H8" s="1029"/>
    </row>
    <row r="9" spans="1:18" s="10" customFormat="1" ht="20.100000000000001" customHeight="1"/>
    <row r="10" spans="1:18" s="10" customFormat="1" ht="20.100000000000001" customHeight="1">
      <c r="B10" s="20"/>
      <c r="C10" s="20"/>
      <c r="D10" s="20"/>
      <c r="E10" s="733"/>
      <c r="F10" s="23"/>
      <c r="G10" s="23"/>
    </row>
    <row r="11" spans="1:18" s="10" customFormat="1" ht="20.100000000000001" customHeight="1">
      <c r="B11" s="669" t="s">
        <v>266</v>
      </c>
      <c r="C11" s="669"/>
      <c r="D11" s="20"/>
      <c r="E11" s="20"/>
    </row>
    <row r="12" spans="1:18" s="10" customFormat="1" ht="20.100000000000001" customHeight="1" thickBot="1">
      <c r="B12" s="1030" t="s">
        <v>267</v>
      </c>
      <c r="C12" s="1030"/>
      <c r="D12" s="1030"/>
      <c r="E12" s="1030"/>
      <c r="J12" s="20"/>
    </row>
    <row r="13" spans="1:18" s="10" customFormat="1" ht="105.75" customHeight="1" thickBot="1">
      <c r="A13" s="1031" t="s">
        <v>268</v>
      </c>
      <c r="B13" s="282" t="s">
        <v>269</v>
      </c>
      <c r="C13" s="672" t="s">
        <v>270</v>
      </c>
      <c r="D13" s="282" t="s">
        <v>271</v>
      </c>
      <c r="E13" s="282" t="s">
        <v>272</v>
      </c>
      <c r="F13" s="671" t="s">
        <v>273</v>
      </c>
      <c r="G13" s="282" t="s">
        <v>52</v>
      </c>
      <c r="H13" s="672" t="s">
        <v>274</v>
      </c>
      <c r="J13" s="20"/>
    </row>
    <row r="14" spans="1:18" s="10" customFormat="1" ht="20.100000000000001" customHeight="1">
      <c r="A14" s="20" t="s">
        <v>275</v>
      </c>
      <c r="B14" s="1121">
        <v>91.79</v>
      </c>
      <c r="C14" s="1121">
        <v>4.59</v>
      </c>
      <c r="D14" s="1121">
        <v>9.18</v>
      </c>
      <c r="E14" s="1121">
        <v>12.74</v>
      </c>
      <c r="F14" s="1121">
        <v>4.59</v>
      </c>
      <c r="G14" s="1122">
        <f>SUM(B14:F14)</f>
        <v>122.89</v>
      </c>
      <c r="H14" s="327">
        <f>G14*30</f>
        <v>3686.7</v>
      </c>
    </row>
    <row r="15" spans="1:18" s="10" customFormat="1" ht="20.100000000000001" customHeight="1">
      <c r="A15" s="20" t="s">
        <v>276</v>
      </c>
      <c r="B15" s="777">
        <v>82.78</v>
      </c>
      <c r="C15" s="777">
        <v>4.1399999999999997</v>
      </c>
      <c r="D15" s="777">
        <v>8.2799999999999994</v>
      </c>
      <c r="E15" s="777">
        <v>11.88</v>
      </c>
      <c r="F15" s="777">
        <v>4.1399999999999997</v>
      </c>
      <c r="G15" s="1122">
        <f>SUM(B15:F15)</f>
        <v>111.22</v>
      </c>
      <c r="H15" s="304">
        <f>G15*30</f>
        <v>3336.6</v>
      </c>
    </row>
    <row r="16" spans="1:18" s="10" customFormat="1" ht="20.100000000000001" customHeight="1" thickBot="1">
      <c r="A16" s="20" t="s">
        <v>207</v>
      </c>
      <c r="B16" s="778">
        <v>73.400000000000006</v>
      </c>
      <c r="C16" s="778">
        <v>0</v>
      </c>
      <c r="D16" s="1032"/>
      <c r="E16" s="778">
        <v>3.67</v>
      </c>
      <c r="F16" s="778">
        <v>3.67</v>
      </c>
      <c r="G16" s="1033">
        <f>SUM(B16:F16)</f>
        <v>80.740000000000009</v>
      </c>
      <c r="H16" s="1034">
        <f>G16*30</f>
        <v>2422.2000000000003</v>
      </c>
    </row>
    <row r="17" spans="1:11" s="10" customFormat="1" ht="20.100000000000001" customHeight="1" thickBot="1">
      <c r="A17" s="270"/>
      <c r="B17" s="321"/>
      <c r="C17" s="478"/>
      <c r="D17" s="478"/>
      <c r="E17" s="478"/>
      <c r="F17" s="478"/>
      <c r="G17" s="326"/>
      <c r="H17" s="305"/>
    </row>
    <row r="18" spans="1:11" s="10" customFormat="1" ht="65.099999999999994" customHeight="1" thickBot="1">
      <c r="A18" s="1035" t="s">
        <v>268</v>
      </c>
      <c r="B18" s="282" t="s">
        <v>277</v>
      </c>
      <c r="C18" s="329"/>
      <c r="D18" s="329"/>
      <c r="E18" s="329"/>
      <c r="F18" s="329"/>
      <c r="G18" s="325" t="s">
        <v>52</v>
      </c>
      <c r="H18" s="672" t="s">
        <v>278</v>
      </c>
    </row>
    <row r="19" spans="1:11" s="10" customFormat="1" ht="20.100000000000001" customHeight="1">
      <c r="A19" s="20" t="s">
        <v>279</v>
      </c>
      <c r="B19" s="1123">
        <v>0</v>
      </c>
      <c r="C19" s="328"/>
      <c r="D19" s="328"/>
      <c r="E19" s="328"/>
      <c r="F19" s="328"/>
      <c r="G19" s="1122">
        <f>B19</f>
        <v>0</v>
      </c>
      <c r="H19" s="537">
        <f>G19*3</f>
        <v>0</v>
      </c>
    </row>
    <row r="20" spans="1:11" s="10" customFormat="1" ht="20.100000000000001" customHeight="1" thickBot="1">
      <c r="A20" s="20" t="s">
        <v>280</v>
      </c>
      <c r="B20" s="1036">
        <v>0</v>
      </c>
      <c r="C20" s="1037"/>
      <c r="D20" s="1037"/>
      <c r="E20" s="1037"/>
      <c r="F20" s="1037"/>
      <c r="G20" s="306">
        <f>B20</f>
        <v>0</v>
      </c>
      <c r="H20" s="508">
        <f>G20*3</f>
        <v>0</v>
      </c>
    </row>
    <row r="21" spans="1:11" s="10" customFormat="1" ht="20.100000000000001" customHeight="1" thickBot="1">
      <c r="A21" s="307"/>
      <c r="B21" s="321"/>
      <c r="C21" s="270"/>
      <c r="D21" s="270"/>
      <c r="E21" s="270"/>
      <c r="F21" s="270"/>
      <c r="G21" s="326"/>
      <c r="H21" s="305"/>
    </row>
    <row r="22" spans="1:11" s="10" customFormat="1" ht="20.100000000000001" customHeight="1">
      <c r="A22" s="20" t="s">
        <v>281</v>
      </c>
      <c r="B22" s="393">
        <v>0</v>
      </c>
      <c r="C22" s="479"/>
      <c r="D22" s="479"/>
      <c r="E22" s="479"/>
      <c r="F22" s="479"/>
      <c r="G22" s="308">
        <f>B22</f>
        <v>0</v>
      </c>
      <c r="H22" s="324">
        <f>G22*2</f>
        <v>0</v>
      </c>
    </row>
    <row r="23" spans="1:11" s="10" customFormat="1" ht="20.100000000000001" customHeight="1" thickBot="1">
      <c r="A23" s="20" t="s">
        <v>282</v>
      </c>
      <c r="B23" s="1038">
        <v>0</v>
      </c>
      <c r="C23" s="1037"/>
      <c r="D23" s="1037"/>
      <c r="E23" s="1037"/>
      <c r="F23" s="1037"/>
      <c r="G23" s="1039">
        <f>B23</f>
        <v>0</v>
      </c>
      <c r="H23" s="1034">
        <f>G23*2</f>
        <v>0</v>
      </c>
      <c r="J23" s="309"/>
      <c r="K23" s="309"/>
    </row>
    <row r="24" spans="1:11" s="10" customFormat="1" ht="25.35" customHeight="1">
      <c r="B24" s="309"/>
      <c r="C24" s="20"/>
      <c r="D24" s="20"/>
      <c r="E24" s="20"/>
      <c r="F24" s="20"/>
      <c r="G24" s="309"/>
      <c r="H24" s="309"/>
      <c r="I24" s="309"/>
      <c r="J24" s="309"/>
      <c r="K24" s="309"/>
    </row>
    <row r="25" spans="1:11" s="10" customFormat="1" ht="13.5" customHeight="1">
      <c r="A25" s="20"/>
      <c r="B25" s="309"/>
      <c r="C25" s="309"/>
      <c r="D25" s="309"/>
      <c r="E25" s="309"/>
      <c r="F25" s="309"/>
      <c r="G25" s="309"/>
      <c r="H25" s="309"/>
      <c r="I25" s="309"/>
      <c r="J25" s="309"/>
      <c r="K25" s="309"/>
    </row>
    <row r="26" spans="1:11" s="10" customFormat="1" ht="20.100000000000001" customHeight="1">
      <c r="B26" s="20" t="s">
        <v>283</v>
      </c>
      <c r="C26" s="20"/>
      <c r="D26" s="20"/>
      <c r="E26" s="20"/>
      <c r="F26" s="309"/>
      <c r="G26" s="309"/>
      <c r="H26" s="309"/>
      <c r="I26" s="309"/>
      <c r="J26" s="309"/>
      <c r="K26" s="309"/>
    </row>
    <row r="27" spans="1:11" s="10" customFormat="1" ht="20.100000000000001" customHeight="1" thickBot="1">
      <c r="A27" s="20"/>
      <c r="B27" s="20" t="s">
        <v>267</v>
      </c>
      <c r="C27" s="20"/>
      <c r="D27" s="20"/>
      <c r="E27" s="20"/>
      <c r="F27" s="309"/>
      <c r="G27" s="309"/>
      <c r="H27" s="309"/>
      <c r="I27" s="309"/>
    </row>
    <row r="28" spans="1:11" s="10" customFormat="1" ht="108" customHeight="1" thickBot="1">
      <c r="A28" s="1031" t="s">
        <v>268</v>
      </c>
      <c r="B28" s="263" t="s">
        <v>269</v>
      </c>
      <c r="C28" s="282" t="s">
        <v>284</v>
      </c>
      <c r="D28" s="282" t="s">
        <v>270</v>
      </c>
      <c r="E28" s="282" t="s">
        <v>271</v>
      </c>
      <c r="F28" s="282" t="s">
        <v>272</v>
      </c>
      <c r="G28" s="671" t="s">
        <v>273</v>
      </c>
      <c r="H28" s="282" t="s">
        <v>52</v>
      </c>
      <c r="I28" s="672" t="s">
        <v>274</v>
      </c>
      <c r="J28" s="20"/>
      <c r="K28" s="20"/>
    </row>
    <row r="29" spans="1:11" s="10" customFormat="1" ht="20.100000000000001" customHeight="1">
      <c r="A29" s="20" t="str">
        <f t="shared" ref="A29:B31" si="0">A14</f>
        <v>UPPER LEVEL - BACCALAUREATE</v>
      </c>
      <c r="B29" s="310">
        <f t="shared" si="0"/>
        <v>91.79</v>
      </c>
      <c r="C29" s="1121">
        <v>289.31</v>
      </c>
      <c r="D29" s="1121">
        <v>19.059999999999999</v>
      </c>
      <c r="E29" s="480">
        <f>D14</f>
        <v>9.18</v>
      </c>
      <c r="F29" s="1121">
        <v>40.299999999999997</v>
      </c>
      <c r="G29" s="1121">
        <v>19.059999999999999</v>
      </c>
      <c r="H29" s="311">
        <f>SUM(B29:G29)</f>
        <v>468.70000000000005</v>
      </c>
      <c r="I29" s="322">
        <f>H29*30</f>
        <v>14061.000000000002</v>
      </c>
    </row>
    <row r="30" spans="1:11" s="10" customFormat="1" ht="20.100000000000001" customHeight="1">
      <c r="A30" s="20" t="str">
        <f t="shared" si="0"/>
        <v>LOWER LEVEL - CREDIT (A &amp; P, PSV, DEVELOPMENTAL EDUCATION AND EPI)</v>
      </c>
      <c r="B30" s="1040">
        <f t="shared" si="0"/>
        <v>82.78</v>
      </c>
      <c r="C30" s="779">
        <v>248.33</v>
      </c>
      <c r="D30" s="779">
        <v>16.559999999999999</v>
      </c>
      <c r="E30" s="1041">
        <f>D15</f>
        <v>8.2799999999999994</v>
      </c>
      <c r="F30" s="779">
        <v>35.549999999999997</v>
      </c>
      <c r="G30" s="779">
        <v>16.559999999999999</v>
      </c>
      <c r="H30" s="1122">
        <f>SUM(B30:G30)</f>
        <v>408.06</v>
      </c>
      <c r="I30" s="304">
        <f>H30*30</f>
        <v>12241.8</v>
      </c>
    </row>
    <row r="31" spans="1:11" s="10" customFormat="1" ht="20.100000000000001" customHeight="1">
      <c r="A31" s="20" t="str">
        <f t="shared" si="0"/>
        <v>CAREER CERTIFICATE AND APPLIED TECHNOLOGY DIPLOMA</v>
      </c>
      <c r="B31" s="927">
        <f t="shared" si="0"/>
        <v>73.400000000000006</v>
      </c>
      <c r="C31" s="777">
        <v>220.19</v>
      </c>
      <c r="D31" s="777">
        <v>0</v>
      </c>
      <c r="E31" s="928"/>
      <c r="F31" s="777">
        <v>14.68</v>
      </c>
      <c r="G31" s="777">
        <v>14.68</v>
      </c>
      <c r="H31" s="929">
        <f>SUM(B31:G31)</f>
        <v>322.95000000000005</v>
      </c>
      <c r="I31" s="929">
        <f>H31*30</f>
        <v>9688.5000000000018</v>
      </c>
    </row>
    <row r="32" spans="1:11" s="10" customFormat="1" ht="20.100000000000001" customHeight="1" thickBot="1">
      <c r="A32" s="20" t="s">
        <v>285</v>
      </c>
      <c r="B32" s="1042">
        <v>0</v>
      </c>
      <c r="C32" s="939">
        <v>0</v>
      </c>
      <c r="D32" s="939">
        <v>0</v>
      </c>
      <c r="E32" s="1043"/>
      <c r="F32" s="939">
        <v>0</v>
      </c>
      <c r="G32" s="939">
        <v>0</v>
      </c>
      <c r="H32" s="929">
        <f>SUM(B32:G32)</f>
        <v>0</v>
      </c>
      <c r="I32" s="929">
        <f>H32*30</f>
        <v>0</v>
      </c>
    </row>
    <row r="33" spans="1:11" s="10" customFormat="1" ht="20.100000000000001" customHeight="1" thickBot="1">
      <c r="A33" s="307"/>
      <c r="B33" s="270"/>
      <c r="C33" s="270"/>
      <c r="D33" s="270"/>
      <c r="E33" s="270"/>
      <c r="F33" s="270"/>
      <c r="G33" s="270"/>
      <c r="H33" s="270"/>
      <c r="I33" s="312"/>
    </row>
    <row r="34" spans="1:11" s="10" customFormat="1" ht="65.099999999999994" customHeight="1" thickBot="1">
      <c r="A34" s="1035" t="s">
        <v>268</v>
      </c>
      <c r="B34" s="282" t="s">
        <v>277</v>
      </c>
      <c r="C34" s="270"/>
      <c r="D34" s="270"/>
      <c r="E34" s="270"/>
      <c r="F34" s="270"/>
      <c r="G34" s="270"/>
      <c r="H34" s="282" t="s">
        <v>52</v>
      </c>
      <c r="I34" s="672" t="s">
        <v>278</v>
      </c>
    </row>
    <row r="35" spans="1:11" s="10" customFormat="1" ht="20.100000000000001" customHeight="1">
      <c r="A35" s="20" t="str">
        <f>A19</f>
        <v>VOCATIONAL PREPARATORY (PER TERM)</v>
      </c>
      <c r="B35" s="313">
        <f>B19</f>
        <v>0</v>
      </c>
      <c r="C35" s="328"/>
      <c r="D35" s="328"/>
      <c r="E35" s="328"/>
      <c r="F35" s="328"/>
      <c r="G35" s="328"/>
      <c r="H35" s="1124">
        <f>B35</f>
        <v>0</v>
      </c>
      <c r="I35" s="323">
        <f>H35*3</f>
        <v>0</v>
      </c>
      <c r="J35" s="309"/>
      <c r="K35" s="309"/>
    </row>
    <row r="36" spans="1:11" s="10" customFormat="1" ht="20.100000000000001" customHeight="1" thickBot="1">
      <c r="A36" s="20" t="str">
        <f>A20</f>
        <v>ADULT GENERAL EDUCATION AND SECONDARY (PER TERM)</v>
      </c>
      <c r="B36" s="1044">
        <f>B20</f>
        <v>0</v>
      </c>
      <c r="C36" s="1037"/>
      <c r="D36" s="1037"/>
      <c r="E36" s="1037"/>
      <c r="F36" s="1037"/>
      <c r="G36" s="1037"/>
      <c r="H36" s="1045">
        <f>B36</f>
        <v>0</v>
      </c>
      <c r="I36" s="1046">
        <f>H36*3</f>
        <v>0</v>
      </c>
    </row>
    <row r="37" spans="1:11" s="10" customFormat="1" ht="20.100000000000001" customHeight="1" thickBot="1">
      <c r="A37" s="307"/>
      <c r="B37" s="394"/>
      <c r="C37" s="270"/>
      <c r="D37" s="270"/>
      <c r="E37" s="270"/>
      <c r="F37" s="270"/>
      <c r="G37" s="270"/>
      <c r="H37" s="394"/>
      <c r="I37" s="395"/>
    </row>
    <row r="38" spans="1:11" s="10" customFormat="1" ht="20.100000000000001" customHeight="1">
      <c r="A38" s="20" t="str">
        <f>A22</f>
        <v>VOCATIONAL PREPARATORY (PER HALF YEAR)</v>
      </c>
      <c r="B38" s="313">
        <f>B22</f>
        <v>0</v>
      </c>
      <c r="C38" s="479"/>
      <c r="D38" s="479"/>
      <c r="E38" s="479"/>
      <c r="F38" s="479"/>
      <c r="G38" s="479"/>
      <c r="H38" s="311">
        <f>B38</f>
        <v>0</v>
      </c>
      <c r="I38" s="322">
        <f>H38*2</f>
        <v>0</v>
      </c>
    </row>
    <row r="39" spans="1:11" s="10" customFormat="1" ht="20.100000000000001" customHeight="1" thickBot="1">
      <c r="A39" s="20" t="str">
        <f>A23</f>
        <v>ADULT GENERAL EDUCATION AND SECONDARY (PER HALF YEAR)</v>
      </c>
      <c r="B39" s="1044">
        <f>B23</f>
        <v>0</v>
      </c>
      <c r="C39" s="1037"/>
      <c r="D39" s="1037"/>
      <c r="E39" s="1037"/>
      <c r="F39" s="1037"/>
      <c r="G39" s="1037"/>
      <c r="H39" s="1047">
        <f>B39</f>
        <v>0</v>
      </c>
      <c r="I39" s="1048">
        <f>H39*2</f>
        <v>0</v>
      </c>
    </row>
    <row r="40" spans="1:11" s="10" customFormat="1" ht="20.100000000000001" customHeight="1">
      <c r="A40" s="20"/>
      <c r="B40" s="314"/>
    </row>
    <row r="41" spans="1:11" ht="26.25" customHeight="1">
      <c r="A41" s="162" t="s">
        <v>286</v>
      </c>
      <c r="B41" s="735"/>
      <c r="C41" s="735"/>
      <c r="D41" s="735"/>
      <c r="E41" s="735"/>
      <c r="F41" s="735"/>
      <c r="G41" s="735"/>
      <c r="H41" s="735"/>
      <c r="I41" s="735"/>
      <c r="J41" s="158"/>
    </row>
    <row r="42" spans="1:11" ht="20.25" customHeight="1">
      <c r="A42" s="10" t="s">
        <v>287</v>
      </c>
      <c r="B42" s="160"/>
      <c r="C42" s="160"/>
      <c r="D42" s="160"/>
      <c r="E42" s="160"/>
      <c r="F42" s="160"/>
      <c r="G42" s="160"/>
      <c r="H42" s="160"/>
      <c r="I42" s="160"/>
    </row>
    <row r="43" spans="1:11" ht="20.25" customHeight="1">
      <c r="A43" s="10" t="s">
        <v>288</v>
      </c>
      <c r="B43" s="160"/>
      <c r="C43" s="160"/>
      <c r="D43" s="160"/>
      <c r="E43" s="160"/>
      <c r="F43" s="160"/>
      <c r="G43" s="160"/>
      <c r="H43" s="160"/>
      <c r="I43" s="160"/>
    </row>
    <row r="44" spans="1:11" ht="20.25" customHeight="1">
      <c r="A44" s="10" t="s">
        <v>289</v>
      </c>
      <c r="B44" s="160"/>
      <c r="C44" s="160"/>
      <c r="D44" s="160"/>
      <c r="E44" s="160"/>
      <c r="F44" s="160"/>
      <c r="G44" s="160"/>
      <c r="H44" s="160"/>
      <c r="I44" s="160"/>
    </row>
    <row r="45" spans="1:11" ht="20.25" customHeight="1">
      <c r="A45" s="10" t="s">
        <v>290</v>
      </c>
      <c r="B45" s="160"/>
      <c r="C45" s="160"/>
      <c r="D45" s="160"/>
      <c r="E45" s="160"/>
      <c r="F45" s="160"/>
      <c r="G45" s="160"/>
      <c r="H45" s="160"/>
      <c r="I45" s="160"/>
    </row>
    <row r="46" spans="1:11" ht="20.25" customHeight="1">
      <c r="A46" s="160"/>
      <c r="B46" s="160"/>
      <c r="C46" s="160"/>
      <c r="D46" s="160"/>
      <c r="E46" s="160"/>
      <c r="F46" s="160"/>
      <c r="G46" s="160"/>
      <c r="H46" s="160"/>
      <c r="I46" s="160"/>
    </row>
    <row r="47" spans="1:11" ht="20.25" customHeight="1">
      <c r="A47" s="160"/>
      <c r="B47" s="160"/>
      <c r="C47" s="160"/>
      <c r="D47" s="160"/>
      <c r="E47" s="160"/>
      <c r="F47" s="160"/>
      <c r="G47" s="160"/>
      <c r="H47" s="160"/>
      <c r="I47" s="160"/>
    </row>
    <row r="48" spans="1:11" ht="20.25" customHeight="1">
      <c r="A48" s="160"/>
      <c r="B48" s="160"/>
      <c r="C48" s="160"/>
      <c r="D48" s="160"/>
      <c r="E48" s="160"/>
      <c r="F48" s="160"/>
      <c r="G48" s="160"/>
      <c r="H48" s="160"/>
      <c r="I48" s="160"/>
    </row>
    <row r="49" spans="1:9" ht="20.25" customHeight="1">
      <c r="A49" s="160"/>
      <c r="B49" s="160"/>
      <c r="C49" s="160"/>
      <c r="D49" s="160"/>
      <c r="E49" s="160"/>
      <c r="F49" s="160"/>
      <c r="G49" s="160"/>
      <c r="H49" s="160"/>
      <c r="I49" s="160"/>
    </row>
    <row r="50" spans="1:9" ht="20.25" customHeight="1">
      <c r="A50" s="160"/>
      <c r="B50" s="160"/>
      <c r="C50" s="160"/>
      <c r="D50" s="160"/>
      <c r="E50" s="160"/>
      <c r="F50" s="160"/>
      <c r="G50" s="160"/>
      <c r="H50" s="160"/>
      <c r="I50" s="160"/>
    </row>
    <row r="51" spans="1:9" ht="20.25" customHeight="1">
      <c r="A51" s="160"/>
      <c r="B51" s="160"/>
      <c r="C51" s="160"/>
      <c r="D51" s="160"/>
      <c r="E51" s="160"/>
      <c r="F51" s="160"/>
      <c r="G51" s="160"/>
      <c r="H51" s="160"/>
      <c r="I51" s="160"/>
    </row>
    <row r="52" spans="1:9" ht="20.25" customHeight="1">
      <c r="A52" s="160"/>
      <c r="B52" s="160"/>
      <c r="C52" s="160"/>
      <c r="D52" s="160"/>
      <c r="E52" s="160"/>
      <c r="F52" s="160"/>
      <c r="G52" s="160"/>
      <c r="H52" s="160"/>
      <c r="I52" s="160"/>
    </row>
    <row r="53" spans="1:9" ht="20.25" customHeight="1">
      <c r="A53" s="160"/>
      <c r="B53" s="160"/>
      <c r="C53" s="160"/>
      <c r="D53" s="160"/>
      <c r="E53" s="160"/>
      <c r="F53" s="160"/>
      <c r="G53" s="160"/>
      <c r="H53" s="160"/>
      <c r="I53" s="160"/>
    </row>
    <row r="54" spans="1:9" ht="20.25" customHeight="1">
      <c r="A54" s="160"/>
      <c r="B54" s="160"/>
      <c r="C54" s="160"/>
      <c r="D54" s="160"/>
      <c r="E54" s="160"/>
      <c r="F54" s="160"/>
      <c r="G54" s="160"/>
      <c r="H54" s="160"/>
      <c r="I54" s="160"/>
    </row>
    <row r="55" spans="1:9" ht="20.25" customHeight="1">
      <c r="B55" s="160"/>
      <c r="C55" s="160"/>
      <c r="D55" s="160"/>
      <c r="E55" s="160"/>
      <c r="F55" s="160"/>
      <c r="G55" s="160"/>
      <c r="H55" s="160"/>
      <c r="I55" s="160"/>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 right="0" top="0" bottom="0" header="0" footer="0"/>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41" zoomScale="70" zoomScaleNormal="70" zoomScaleSheetLayoutView="50" zoomScalePageLayoutView="50" workbookViewId="0">
      <selection activeCell="K15" sqref="K15"/>
    </sheetView>
  </sheetViews>
  <sheetFormatPr defaultColWidth="9.140625" defaultRowHeight="21"/>
  <cols>
    <col min="1" max="1" width="43.7109375" style="10" customWidth="1"/>
    <col min="2" max="2" width="81.140625" style="10" customWidth="1"/>
    <col min="3" max="3" width="18.7109375" style="10" customWidth="1"/>
    <col min="4" max="4" width="23.28515625" style="10" customWidth="1"/>
    <col min="5" max="5" width="29" style="10" customWidth="1"/>
    <col min="6" max="6" width="19.7109375" style="10" customWidth="1"/>
    <col min="7" max="8" width="20.42578125" style="10" customWidth="1"/>
    <col min="9" max="9" width="5.140625" style="10" customWidth="1"/>
    <col min="10" max="16384" width="9.140625" style="10"/>
  </cols>
  <sheetData>
    <row r="1" spans="1:9" ht="23.1" customHeight="1">
      <c r="H1" s="159" t="s">
        <v>291</v>
      </c>
    </row>
    <row r="2" spans="1:9" ht="20.100000000000001" customHeight="1">
      <c r="A2" s="737" t="s">
        <v>10</v>
      </c>
      <c r="B2" s="737"/>
      <c r="C2" s="737"/>
      <c r="D2" s="737"/>
      <c r="E2" s="737"/>
      <c r="F2" s="737"/>
      <c r="G2" s="737"/>
      <c r="H2" s="670"/>
      <c r="I2" s="20"/>
    </row>
    <row r="3" spans="1:9" ht="20.100000000000001" customHeight="1">
      <c r="A3" s="737" t="s">
        <v>292</v>
      </c>
      <c r="B3" s="737"/>
      <c r="C3" s="737"/>
      <c r="D3" s="737"/>
      <c r="E3" s="737"/>
      <c r="F3" s="737"/>
      <c r="G3" s="737"/>
      <c r="H3" s="670"/>
    </row>
    <row r="4" spans="1:9" ht="20.100000000000001" customHeight="1">
      <c r="A4" s="297"/>
      <c r="B4" s="297"/>
      <c r="C4" s="297"/>
      <c r="D4" s="297"/>
      <c r="E4" s="297"/>
      <c r="F4" s="297"/>
      <c r="G4" s="297"/>
      <c r="H4" s="262"/>
    </row>
    <row r="5" spans="1:9" ht="27.6" customHeight="1" thickBot="1">
      <c r="A5" s="737" t="s">
        <v>293</v>
      </c>
      <c r="B5" s="1049" t="str">
        <f>'CHECK SHEET'!D7</f>
        <v>Polk State College</v>
      </c>
      <c r="C5" s="1049"/>
      <c r="D5" s="1049"/>
      <c r="E5" s="1049"/>
      <c r="F5" s="1049"/>
      <c r="G5" s="297"/>
      <c r="H5" s="736"/>
    </row>
    <row r="6" spans="1:9" ht="20.100000000000001" customHeight="1">
      <c r="A6" s="297"/>
      <c r="B6" s="297"/>
      <c r="C6" s="297"/>
      <c r="D6" s="297"/>
      <c r="E6" s="297"/>
      <c r="F6" s="297"/>
      <c r="G6" s="297"/>
      <c r="H6" s="736"/>
    </row>
    <row r="7" spans="1:9" ht="20.100000000000001" customHeight="1">
      <c r="A7" s="669" t="s">
        <v>294</v>
      </c>
      <c r="B7" s="669"/>
      <c r="C7" s="669"/>
      <c r="D7" s="669"/>
      <c r="E7" s="669"/>
      <c r="F7" s="669"/>
      <c r="G7" s="669"/>
      <c r="H7" s="669"/>
    </row>
    <row r="8" spans="1:9" ht="20.100000000000001" customHeight="1" thickBot="1">
      <c r="C8" s="20"/>
    </row>
    <row r="9" spans="1:9" ht="85.5" customHeight="1" thickBot="1">
      <c r="A9" s="263" t="s">
        <v>295</v>
      </c>
      <c r="B9" s="263" t="s">
        <v>296</v>
      </c>
      <c r="C9" s="271" t="s">
        <v>297</v>
      </c>
      <c r="D9" s="271" t="s">
        <v>298</v>
      </c>
      <c r="E9" s="271" t="s">
        <v>299</v>
      </c>
      <c r="F9" s="271" t="s">
        <v>300</v>
      </c>
      <c r="G9" s="271" t="s">
        <v>301</v>
      </c>
      <c r="H9" s="272" t="s">
        <v>302</v>
      </c>
      <c r="I9" s="12"/>
    </row>
    <row r="10" spans="1:9" ht="20.100000000000001" customHeight="1">
      <c r="A10" s="481" t="s">
        <v>269</v>
      </c>
      <c r="B10" s="481" t="s">
        <v>303</v>
      </c>
      <c r="C10" s="482">
        <v>40101</v>
      </c>
      <c r="D10" s="564">
        <v>18309</v>
      </c>
      <c r="E10" s="483">
        <v>146</v>
      </c>
      <c r="F10" s="484">
        <f t="shared" ref="F10:F15" si="0">+D10-E10</f>
        <v>18163</v>
      </c>
      <c r="G10" s="484">
        <f>'EXHIBIT B'!B14</f>
        <v>91.79</v>
      </c>
      <c r="H10" s="969">
        <f>ROUND(+F10*G10,0)</f>
        <v>1667182</v>
      </c>
    </row>
    <row r="11" spans="1:9" ht="20.100000000000001" customHeight="1">
      <c r="A11" s="565" t="s">
        <v>269</v>
      </c>
      <c r="B11" s="565" t="s">
        <v>205</v>
      </c>
      <c r="C11" s="566" t="s">
        <v>304</v>
      </c>
      <c r="D11" s="564">
        <v>154609</v>
      </c>
      <c r="E11" s="564">
        <v>56393</v>
      </c>
      <c r="F11" s="567">
        <f t="shared" si="0"/>
        <v>98216</v>
      </c>
      <c r="G11" s="567">
        <f>+'EXHIBIT B'!B15</f>
        <v>82.78</v>
      </c>
      <c r="H11" s="568">
        <f t="shared" ref="H11:H15" si="1">ROUND(+F11*G11,0)</f>
        <v>8130320</v>
      </c>
    </row>
    <row r="12" spans="1:9" ht="20.100000000000001" customHeight="1">
      <c r="A12" s="565" t="s">
        <v>269</v>
      </c>
      <c r="B12" s="565" t="s">
        <v>206</v>
      </c>
      <c r="C12" s="566" t="s">
        <v>305</v>
      </c>
      <c r="D12" s="564">
        <v>40183</v>
      </c>
      <c r="E12" s="564">
        <v>5167</v>
      </c>
      <c r="F12" s="567">
        <f t="shared" si="0"/>
        <v>35016</v>
      </c>
      <c r="G12" s="567">
        <f>+'EXHIBIT B'!B15</f>
        <v>82.78</v>
      </c>
      <c r="H12" s="568">
        <f t="shared" si="1"/>
        <v>2898624</v>
      </c>
    </row>
    <row r="13" spans="1:9" ht="20.100000000000001" customHeight="1">
      <c r="A13" s="565" t="s">
        <v>269</v>
      </c>
      <c r="B13" s="565" t="s">
        <v>207</v>
      </c>
      <c r="C13" s="566" t="s">
        <v>306</v>
      </c>
      <c r="D13" s="1125">
        <v>5323</v>
      </c>
      <c r="E13" s="1125">
        <v>0</v>
      </c>
      <c r="F13" s="567">
        <f t="shared" si="0"/>
        <v>5323</v>
      </c>
      <c r="G13" s="567">
        <f>+'EXHIBIT B'!B16</f>
        <v>73.400000000000006</v>
      </c>
      <c r="H13" s="568">
        <f t="shared" si="1"/>
        <v>390708</v>
      </c>
    </row>
    <row r="14" spans="1:9" ht="20.100000000000001" customHeight="1">
      <c r="A14" s="565" t="s">
        <v>269</v>
      </c>
      <c r="B14" s="565" t="s">
        <v>208</v>
      </c>
      <c r="C14" s="566" t="s">
        <v>307</v>
      </c>
      <c r="D14" s="564">
        <v>2956</v>
      </c>
      <c r="E14" s="564">
        <v>0</v>
      </c>
      <c r="F14" s="567">
        <f t="shared" si="0"/>
        <v>2956</v>
      </c>
      <c r="G14" s="567">
        <f>+'EXHIBIT B'!B15</f>
        <v>82.78</v>
      </c>
      <c r="H14" s="568">
        <f t="shared" si="1"/>
        <v>244698</v>
      </c>
    </row>
    <row r="15" spans="1:9" ht="20.100000000000001" customHeight="1" thickBot="1">
      <c r="A15" s="569" t="s">
        <v>269</v>
      </c>
      <c r="B15" s="569" t="s">
        <v>209</v>
      </c>
      <c r="C15" s="570">
        <v>40160</v>
      </c>
      <c r="D15" s="571">
        <v>0</v>
      </c>
      <c r="E15" s="571">
        <v>0</v>
      </c>
      <c r="F15" s="572">
        <f t="shared" si="0"/>
        <v>0</v>
      </c>
      <c r="G15" s="572">
        <f>+'EXHIBIT B'!B15</f>
        <v>82.78</v>
      </c>
      <c r="H15" s="573">
        <f t="shared" si="1"/>
        <v>0</v>
      </c>
    </row>
    <row r="16" spans="1:9" ht="24.95" customHeight="1" thickBot="1">
      <c r="A16" s="273"/>
      <c r="B16" s="273"/>
      <c r="C16" s="273"/>
      <c r="D16" s="274"/>
      <c r="E16" s="274"/>
      <c r="F16" s="275"/>
      <c r="G16" s="275"/>
      <c r="H16" s="276"/>
    </row>
    <row r="17" spans="1:9" ht="24.95" customHeight="1" thickBot="1">
      <c r="A17" s="277"/>
      <c r="B17" s="278" t="s">
        <v>308</v>
      </c>
      <c r="C17" s="278"/>
      <c r="D17" s="279">
        <f>SUM(D10:D15)</f>
        <v>221380</v>
      </c>
      <c r="E17" s="279">
        <f>SUM(E10:E15)</f>
        <v>61706</v>
      </c>
      <c r="F17" s="280">
        <f>SUM(F10:F15)</f>
        <v>159674</v>
      </c>
      <c r="G17" s="280"/>
      <c r="H17" s="281">
        <f>SUM(H10:H15)</f>
        <v>13331532</v>
      </c>
    </row>
    <row r="18" spans="1:9" ht="88.35" customHeight="1" thickBot="1">
      <c r="A18" s="282" t="s">
        <v>309</v>
      </c>
      <c r="B18" s="263" t="s">
        <v>296</v>
      </c>
      <c r="C18" s="271" t="s">
        <v>297</v>
      </c>
      <c r="D18" s="282" t="s">
        <v>310</v>
      </c>
      <c r="E18" s="271" t="s">
        <v>301</v>
      </c>
      <c r="F18" s="272" t="s">
        <v>302</v>
      </c>
    </row>
    <row r="19" spans="1:9" ht="24.95" customHeight="1">
      <c r="A19" s="1108" t="s">
        <v>284</v>
      </c>
      <c r="B19" s="1108" t="s">
        <v>303</v>
      </c>
      <c r="C19" s="1126">
        <v>40301</v>
      </c>
      <c r="D19" s="780">
        <v>175</v>
      </c>
      <c r="E19" s="1127">
        <f>'EXHIBIT B'!C29</f>
        <v>289.31</v>
      </c>
      <c r="F19" s="1128">
        <f t="shared" ref="F19:F25" si="2">ROUND(+D19*E19,0)</f>
        <v>50629</v>
      </c>
      <c r="G19" s="283"/>
      <c r="H19" s="283"/>
    </row>
    <row r="20" spans="1:9" ht="20.100000000000001" customHeight="1">
      <c r="A20" s="859" t="s">
        <v>284</v>
      </c>
      <c r="B20" s="859" t="s">
        <v>205</v>
      </c>
      <c r="C20" s="931" t="s">
        <v>311</v>
      </c>
      <c r="D20" s="932">
        <v>3182</v>
      </c>
      <c r="E20" s="933">
        <f>+'EXHIBIT B'!C30</f>
        <v>248.33</v>
      </c>
      <c r="F20" s="934">
        <f t="shared" si="2"/>
        <v>790186</v>
      </c>
      <c r="G20" s="40"/>
      <c r="H20" s="40"/>
    </row>
    <row r="21" spans="1:9" ht="20.100000000000001" customHeight="1">
      <c r="A21" s="859" t="s">
        <v>284</v>
      </c>
      <c r="B21" s="859" t="s">
        <v>206</v>
      </c>
      <c r="C21" s="931" t="s">
        <v>312</v>
      </c>
      <c r="D21" s="932">
        <v>1152</v>
      </c>
      <c r="E21" s="933">
        <f>+'EXHIBIT B'!C30</f>
        <v>248.33</v>
      </c>
      <c r="F21" s="934">
        <f t="shared" si="2"/>
        <v>286076</v>
      </c>
      <c r="G21" s="40"/>
      <c r="H21" s="40"/>
    </row>
    <row r="22" spans="1:9" ht="20.100000000000001" customHeight="1">
      <c r="A22" s="859" t="s">
        <v>284</v>
      </c>
      <c r="B22" s="859" t="s">
        <v>207</v>
      </c>
      <c r="C22" s="931" t="s">
        <v>313</v>
      </c>
      <c r="D22" s="932">
        <v>25</v>
      </c>
      <c r="E22" s="933">
        <f>+'EXHIBIT B'!C31</f>
        <v>220.19</v>
      </c>
      <c r="F22" s="934">
        <f t="shared" si="2"/>
        <v>5505</v>
      </c>
      <c r="G22" s="40"/>
      <c r="H22" s="40"/>
    </row>
    <row r="23" spans="1:9" ht="20.100000000000001" customHeight="1">
      <c r="A23" s="859" t="s">
        <v>284</v>
      </c>
      <c r="B23" s="859" t="s">
        <v>208</v>
      </c>
      <c r="C23" s="931" t="s">
        <v>314</v>
      </c>
      <c r="D23" s="932">
        <v>411</v>
      </c>
      <c r="E23" s="933">
        <f>+'EXHIBIT B'!C30</f>
        <v>248.33</v>
      </c>
      <c r="F23" s="934">
        <f t="shared" si="2"/>
        <v>102064</v>
      </c>
      <c r="G23" s="40"/>
      <c r="H23" s="40"/>
    </row>
    <row r="24" spans="1:9" ht="20.100000000000001" customHeight="1">
      <c r="A24" s="859" t="s">
        <v>284</v>
      </c>
      <c r="B24" s="859" t="s">
        <v>315</v>
      </c>
      <c r="C24" s="931">
        <v>40360</v>
      </c>
      <c r="D24" s="932">
        <v>0</v>
      </c>
      <c r="E24" s="933">
        <f>+'EXHIBIT B'!C30</f>
        <v>248.33</v>
      </c>
      <c r="F24" s="934">
        <f t="shared" si="2"/>
        <v>0</v>
      </c>
      <c r="G24" s="40"/>
      <c r="H24" s="40"/>
    </row>
    <row r="25" spans="1:9" ht="20.100000000000001" customHeight="1" thickBot="1">
      <c r="A25" s="344" t="s">
        <v>284</v>
      </c>
      <c r="B25" s="344" t="s">
        <v>316</v>
      </c>
      <c r="C25" s="930" t="s">
        <v>317</v>
      </c>
      <c r="D25" s="1050">
        <v>0</v>
      </c>
      <c r="E25" s="933">
        <f>+'EXHIBIT B'!H32</f>
        <v>0</v>
      </c>
      <c r="F25" s="934">
        <f t="shared" si="2"/>
        <v>0</v>
      </c>
      <c r="G25" s="40"/>
      <c r="H25" s="40"/>
    </row>
    <row r="26" spans="1:9" ht="20.100000000000001" customHeight="1" thickBot="1">
      <c r="A26" s="284"/>
      <c r="B26" s="284"/>
      <c r="C26" s="284"/>
      <c r="D26" s="284"/>
      <c r="E26" s="285"/>
      <c r="F26" s="286"/>
      <c r="G26" s="40"/>
      <c r="H26" s="40"/>
    </row>
    <row r="27" spans="1:9" ht="20.100000000000001" customHeight="1" thickBot="1">
      <c r="A27" s="1051"/>
      <c r="B27" s="1051" t="s">
        <v>308</v>
      </c>
      <c r="C27" s="1051"/>
      <c r="D27" s="1052">
        <f>SUM(D19:D25)</f>
        <v>4945</v>
      </c>
      <c r="E27" s="1053"/>
      <c r="F27" s="1054">
        <f>SUM(F19:F25)</f>
        <v>1234460</v>
      </c>
      <c r="G27" s="287"/>
      <c r="H27" s="287"/>
    </row>
    <row r="28" spans="1:9" ht="20.100000000000001" customHeight="1" thickBot="1">
      <c r="A28" s="1055" t="s">
        <v>318</v>
      </c>
      <c r="B28" s="1055"/>
      <c r="C28" s="1055"/>
      <c r="D28" s="1055"/>
      <c r="E28" s="1055"/>
      <c r="F28" s="1056"/>
      <c r="G28" s="485"/>
      <c r="H28" s="288">
        <f>H17+F27</f>
        <v>14565992</v>
      </c>
    </row>
    <row r="29" spans="1:9" ht="24.95" customHeight="1">
      <c r="I29" s="153"/>
    </row>
    <row r="30" spans="1:9" ht="24.95" customHeight="1">
      <c r="A30" s="669" t="s">
        <v>319</v>
      </c>
      <c r="B30" s="669"/>
      <c r="C30" s="669"/>
      <c r="D30" s="669"/>
      <c r="E30" s="669"/>
      <c r="F30" s="669"/>
      <c r="G30" s="669"/>
      <c r="H30" s="669"/>
      <c r="I30" s="153"/>
    </row>
    <row r="31" spans="1:9" ht="24.95" customHeight="1" thickBot="1">
      <c r="I31" s="153"/>
    </row>
    <row r="32" spans="1:9" ht="88.35" customHeight="1" thickBot="1">
      <c r="A32" s="282" t="s">
        <v>320</v>
      </c>
      <c r="B32" s="289" t="s">
        <v>296</v>
      </c>
      <c r="C32" s="282" t="s">
        <v>297</v>
      </c>
      <c r="D32" s="282" t="s">
        <v>321</v>
      </c>
      <c r="E32" s="282" t="s">
        <v>322</v>
      </c>
      <c r="F32" s="282" t="s">
        <v>300</v>
      </c>
      <c r="G32" s="282" t="s">
        <v>323</v>
      </c>
      <c r="H32" s="672" t="s">
        <v>302</v>
      </c>
      <c r="I32" s="153"/>
    </row>
    <row r="33" spans="1:8" ht="20.100000000000001" customHeight="1">
      <c r="A33" s="486" t="s">
        <v>324</v>
      </c>
      <c r="B33" s="486" t="s">
        <v>325</v>
      </c>
      <c r="C33" s="487" t="s">
        <v>326</v>
      </c>
      <c r="D33" s="488">
        <v>0</v>
      </c>
      <c r="E33" s="488">
        <v>0</v>
      </c>
      <c r="F33" s="489">
        <f>D33-E33</f>
        <v>0</v>
      </c>
      <c r="G33" s="489">
        <f>'EXHIBIT B'!B19</f>
        <v>0</v>
      </c>
      <c r="H33" s="490">
        <f>ROUND(+F33*G33,0)</f>
        <v>0</v>
      </c>
    </row>
    <row r="34" spans="1:8" ht="20.100000000000001" customHeight="1">
      <c r="A34" s="859" t="s">
        <v>324</v>
      </c>
      <c r="B34" s="859" t="s">
        <v>327</v>
      </c>
      <c r="C34" s="931" t="s">
        <v>328</v>
      </c>
      <c r="D34" s="932">
        <v>0</v>
      </c>
      <c r="E34" s="932">
        <v>0</v>
      </c>
      <c r="F34" s="933">
        <f>D34-E34</f>
        <v>0</v>
      </c>
      <c r="G34" s="933">
        <f>'EXHIBIT B'!B20</f>
        <v>0</v>
      </c>
      <c r="H34" s="934">
        <f>ROUND(+F34*G34,0)</f>
        <v>0</v>
      </c>
    </row>
    <row r="35" spans="1:8" ht="20.100000000000001" customHeight="1">
      <c r="A35" s="859" t="s">
        <v>329</v>
      </c>
      <c r="B35" s="859" t="s">
        <v>325</v>
      </c>
      <c r="C35" s="931">
        <v>40180</v>
      </c>
      <c r="D35" s="932">
        <v>0</v>
      </c>
      <c r="E35" s="932">
        <v>0</v>
      </c>
      <c r="F35" s="933">
        <f>D35-E35</f>
        <v>0</v>
      </c>
      <c r="G35" s="933">
        <f>'EXHIBIT B'!B22</f>
        <v>0</v>
      </c>
      <c r="H35" s="934">
        <f>ROUND(+F35*G35,0)</f>
        <v>0</v>
      </c>
    </row>
    <row r="36" spans="1:8" ht="20.100000000000001" customHeight="1" thickBot="1">
      <c r="A36" s="1057" t="s">
        <v>329</v>
      </c>
      <c r="B36" s="1057" t="s">
        <v>327</v>
      </c>
      <c r="C36" s="1058">
        <v>40190</v>
      </c>
      <c r="D36" s="1059">
        <v>0</v>
      </c>
      <c r="E36" s="1059">
        <v>0</v>
      </c>
      <c r="F36" s="1060">
        <f>D36-E36</f>
        <v>0</v>
      </c>
      <c r="G36" s="1060">
        <f>'EXHIBIT B'!B23</f>
        <v>0</v>
      </c>
      <c r="H36" s="1061">
        <f>ROUND(+F36*G36,0)</f>
        <v>0</v>
      </c>
    </row>
    <row r="37" spans="1:8" ht="20.100000000000001" customHeight="1" thickBot="1">
      <c r="A37" s="290"/>
      <c r="B37" s="267" t="s">
        <v>330</v>
      </c>
      <c r="C37" s="267"/>
      <c r="D37" s="291">
        <f>SUM(D33:D36)</f>
        <v>0</v>
      </c>
      <c r="E37" s="291">
        <f>SUM(E33:E36)</f>
        <v>0</v>
      </c>
      <c r="F37" s="292">
        <f>D37-E37</f>
        <v>0</v>
      </c>
      <c r="G37" s="292"/>
      <c r="H37" s="293">
        <f>SUM(H33:H36)</f>
        <v>0</v>
      </c>
    </row>
    <row r="38" spans="1:8" ht="24.95" customHeight="1" thickBot="1">
      <c r="A38" s="1062"/>
      <c r="B38" s="1037"/>
      <c r="C38" s="1037"/>
      <c r="D38" s="1037"/>
      <c r="E38" s="1037"/>
      <c r="F38" s="1037"/>
    </row>
    <row r="39" spans="1:8" ht="88.35" customHeight="1" thickBot="1">
      <c r="A39" s="1063" t="s">
        <v>331</v>
      </c>
      <c r="B39" s="1064" t="s">
        <v>296</v>
      </c>
      <c r="C39" s="282" t="s">
        <v>297</v>
      </c>
      <c r="D39" s="294" t="s">
        <v>321</v>
      </c>
      <c r="E39" s="294" t="s">
        <v>323</v>
      </c>
      <c r="F39" s="282" t="s">
        <v>302</v>
      </c>
      <c r="G39" s="12"/>
      <c r="H39" s="12"/>
    </row>
    <row r="40" spans="1:8" ht="20.100000000000001" customHeight="1">
      <c r="A40" s="486" t="s">
        <v>324</v>
      </c>
      <c r="B40" s="486" t="s">
        <v>325</v>
      </c>
      <c r="C40" s="487">
        <v>40380</v>
      </c>
      <c r="D40" s="488">
        <v>0</v>
      </c>
      <c r="E40" s="489">
        <f>'EXHIBIT B'!B35</f>
        <v>0</v>
      </c>
      <c r="F40" s="968">
        <f>D40*E40</f>
        <v>0</v>
      </c>
    </row>
    <row r="41" spans="1:8" ht="20.100000000000001" customHeight="1">
      <c r="A41" s="859" t="s">
        <v>324</v>
      </c>
      <c r="B41" s="859" t="s">
        <v>327</v>
      </c>
      <c r="C41" s="931">
        <v>40390</v>
      </c>
      <c r="D41" s="932">
        <v>0</v>
      </c>
      <c r="E41" s="933">
        <f>'EXHIBIT B'!B36</f>
        <v>0</v>
      </c>
      <c r="F41" s="934">
        <f>D41*E41</f>
        <v>0</v>
      </c>
    </row>
    <row r="42" spans="1:8" ht="20.100000000000001" customHeight="1">
      <c r="A42" s="859" t="s">
        <v>329</v>
      </c>
      <c r="B42" s="859" t="s">
        <v>325</v>
      </c>
      <c r="C42" s="931" t="s">
        <v>332</v>
      </c>
      <c r="D42" s="932">
        <v>0</v>
      </c>
      <c r="E42" s="933">
        <f>'EXHIBIT B'!B38</f>
        <v>0</v>
      </c>
      <c r="F42" s="934">
        <f>D42*E42</f>
        <v>0</v>
      </c>
    </row>
    <row r="43" spans="1:8" ht="20.100000000000001" customHeight="1" thickBot="1">
      <c r="A43" s="1057" t="s">
        <v>329</v>
      </c>
      <c r="B43" s="1057" t="s">
        <v>327</v>
      </c>
      <c r="C43" s="1058" t="s">
        <v>333</v>
      </c>
      <c r="D43" s="1059">
        <v>0</v>
      </c>
      <c r="E43" s="1060">
        <f>'EXHIBIT B'!B39</f>
        <v>0</v>
      </c>
      <c r="F43" s="1061">
        <f>D43*E43</f>
        <v>0</v>
      </c>
    </row>
    <row r="44" spans="1:8" ht="20.100000000000001" customHeight="1" thickBot="1">
      <c r="A44" s="1065"/>
      <c r="B44" s="1055" t="s">
        <v>308</v>
      </c>
      <c r="C44" s="1055"/>
      <c r="D44" s="1066">
        <f>SUM(D40:D43)</f>
        <v>0</v>
      </c>
      <c r="E44" s="1067"/>
      <c r="F44" s="1066">
        <f>SUM(F40:F43)</f>
        <v>0</v>
      </c>
    </row>
    <row r="45" spans="1:8" ht="20.100000000000001" customHeight="1" thickBot="1">
      <c r="A45" s="295" t="s">
        <v>334</v>
      </c>
      <c r="B45" s="1055"/>
      <c r="C45" s="1055"/>
      <c r="D45" s="1055"/>
      <c r="E45" s="1055"/>
      <c r="F45" s="1055"/>
      <c r="G45" s="267"/>
      <c r="H45" s="491">
        <f>H37+F44</f>
        <v>0</v>
      </c>
    </row>
    <row r="46" spans="1:8" ht="20.100000000000001" customHeight="1" thickBot="1">
      <c r="A46" s="284"/>
      <c r="B46" s="284"/>
      <c r="C46" s="284"/>
      <c r="D46" s="284"/>
      <c r="E46" s="284"/>
      <c r="F46" s="284"/>
      <c r="G46" s="284"/>
      <c r="H46" s="285"/>
    </row>
    <row r="47" spans="1:8" ht="20.100000000000001" customHeight="1" thickBot="1">
      <c r="A47" s="1055" t="s">
        <v>335</v>
      </c>
      <c r="B47" s="1055"/>
      <c r="C47" s="1055"/>
      <c r="D47" s="1055"/>
      <c r="E47" s="1055"/>
      <c r="F47" s="1055"/>
      <c r="G47" s="1068"/>
      <c r="H47" s="288">
        <f>H28+H45</f>
        <v>14565992</v>
      </c>
    </row>
    <row r="48" spans="1:8" ht="24.75" customHeight="1">
      <c r="A48" s="673"/>
      <c r="B48" s="673"/>
      <c r="C48" s="673"/>
      <c r="D48" s="673"/>
      <c r="E48" s="673"/>
      <c r="F48" s="673"/>
      <c r="G48" s="296"/>
      <c r="H48" s="296"/>
    </row>
    <row r="49" spans="1:10" ht="24.95" customHeight="1">
      <c r="A49" s="20" t="s">
        <v>336</v>
      </c>
      <c r="H49" s="12"/>
    </row>
    <row r="50" spans="1:10" ht="24.95" customHeight="1">
      <c r="A50" s="20"/>
    </row>
    <row r="51" spans="1:10" ht="43.35" customHeight="1" thickBot="1">
      <c r="A51" s="1069" t="s">
        <v>337</v>
      </c>
      <c r="B51" s="1069"/>
      <c r="C51" s="901"/>
      <c r="D51" s="901"/>
      <c r="E51" s="901"/>
      <c r="F51" s="901"/>
    </row>
    <row r="52" spans="1:10" ht="44.45" customHeight="1" thickBot="1">
      <c r="A52" s="263" t="s">
        <v>338</v>
      </c>
      <c r="B52" s="263" t="s">
        <v>339</v>
      </c>
      <c r="C52" s="738" t="s">
        <v>340</v>
      </c>
      <c r="D52" s="739"/>
      <c r="E52" s="738" t="s">
        <v>341</v>
      </c>
      <c r="F52" s="739"/>
    </row>
    <row r="53" spans="1:10" ht="24.95" customHeight="1" thickBot="1">
      <c r="A53" s="264"/>
      <c r="B53" s="265"/>
      <c r="C53" s="492"/>
      <c r="D53" s="493"/>
      <c r="E53" s="492"/>
      <c r="F53" s="493"/>
    </row>
    <row r="54" spans="1:10" ht="24.95" customHeight="1" thickBot="1">
      <c r="A54" s="270" t="s">
        <v>224</v>
      </c>
      <c r="B54" s="266"/>
      <c r="C54" s="494"/>
      <c r="D54" s="495"/>
      <c r="E54" s="494"/>
      <c r="F54" s="495"/>
    </row>
    <row r="55" spans="1:10" ht="24.95" customHeight="1">
      <c r="A55" s="1129" t="s">
        <v>342</v>
      </c>
      <c r="B55" s="932">
        <v>0</v>
      </c>
      <c r="C55" s="921"/>
      <c r="D55" s="922"/>
      <c r="E55" s="781"/>
      <c r="F55" s="782"/>
    </row>
    <row r="56" spans="1:10" ht="24.95" customHeight="1">
      <c r="A56" s="1070"/>
      <c r="B56" s="932">
        <v>0</v>
      </c>
      <c r="C56" s="783"/>
      <c r="D56" s="784"/>
      <c r="E56" s="783"/>
      <c r="F56" s="784"/>
      <c r="J56" s="80"/>
    </row>
    <row r="57" spans="1:10" ht="24.95" customHeight="1">
      <c r="A57" s="1070"/>
      <c r="B57" s="932">
        <v>0</v>
      </c>
      <c r="C57" s="783"/>
      <c r="D57" s="784"/>
      <c r="E57" s="783"/>
      <c r="F57" s="784"/>
    </row>
    <row r="58" spans="1:10" ht="24.95" customHeight="1">
      <c r="A58" s="1070"/>
      <c r="B58" s="932">
        <v>0</v>
      </c>
      <c r="C58" s="783"/>
      <c r="D58" s="784"/>
      <c r="E58" s="783"/>
      <c r="F58" s="784"/>
    </row>
    <row r="59" spans="1:10" ht="24.95" customHeight="1">
      <c r="A59" s="1070"/>
      <c r="B59" s="932">
        <v>0</v>
      </c>
      <c r="C59" s="783"/>
      <c r="D59" s="784"/>
      <c r="E59" s="783"/>
      <c r="F59" s="784"/>
    </row>
    <row r="60" spans="1:10" ht="24.95" customHeight="1" thickBot="1">
      <c r="A60" s="1071"/>
      <c r="B60" s="1072">
        <v>0</v>
      </c>
      <c r="C60" s="785"/>
      <c r="D60" s="786"/>
      <c r="E60" s="787"/>
      <c r="F60" s="788"/>
    </row>
    <row r="61" spans="1:10" ht="24.95" customHeight="1" thickBot="1">
      <c r="A61" s="267" t="s">
        <v>343</v>
      </c>
      <c r="B61" s="268">
        <f>SUM(B55:B60)</f>
        <v>0</v>
      </c>
      <c r="C61" s="789"/>
      <c r="D61" s="790"/>
      <c r="E61" s="789"/>
      <c r="F61" s="790"/>
    </row>
    <row r="62" spans="1:10" ht="24.95" customHeight="1" thickBot="1">
      <c r="A62" s="269"/>
      <c r="B62" s="269"/>
      <c r="C62" s="496"/>
      <c r="D62" s="497"/>
      <c r="E62" s="496"/>
      <c r="F62" s="497"/>
    </row>
    <row r="63" spans="1:10" ht="24.95" customHeight="1" thickBot="1">
      <c r="A63" s="270" t="s">
        <v>221</v>
      </c>
      <c r="B63" s="266"/>
      <c r="C63" s="494"/>
      <c r="D63" s="495"/>
      <c r="E63" s="494"/>
      <c r="F63" s="495"/>
    </row>
    <row r="64" spans="1:10" ht="24.95" customHeight="1">
      <c r="A64" s="1129" t="s">
        <v>344</v>
      </c>
      <c r="B64" s="1130">
        <v>0</v>
      </c>
      <c r="C64" s="781"/>
      <c r="D64" s="782"/>
      <c r="E64" s="781"/>
      <c r="F64" s="782"/>
    </row>
    <row r="65" spans="1:6" ht="24.95" customHeight="1">
      <c r="A65" s="1070"/>
      <c r="B65" s="932">
        <v>0</v>
      </c>
      <c r="C65" s="783"/>
      <c r="D65" s="784"/>
      <c r="E65" s="783"/>
      <c r="F65" s="784"/>
    </row>
    <row r="66" spans="1:6" ht="24.95" customHeight="1">
      <c r="A66" s="1070"/>
      <c r="B66" s="932">
        <v>0</v>
      </c>
      <c r="C66" s="783"/>
      <c r="D66" s="784"/>
      <c r="E66" s="783"/>
      <c r="F66" s="784"/>
    </row>
    <row r="67" spans="1:6" ht="24.95" customHeight="1">
      <c r="A67" s="1070"/>
      <c r="B67" s="932">
        <v>0</v>
      </c>
      <c r="C67" s="783"/>
      <c r="D67" s="784"/>
      <c r="E67" s="783"/>
      <c r="F67" s="784"/>
    </row>
    <row r="68" spans="1:6" ht="24.95" customHeight="1">
      <c r="A68" s="1070"/>
      <c r="B68" s="932">
        <v>0</v>
      </c>
      <c r="C68" s="783"/>
      <c r="D68" s="784"/>
      <c r="E68" s="783"/>
      <c r="F68" s="784"/>
    </row>
    <row r="69" spans="1:6" ht="24.95" customHeight="1" thickBot="1">
      <c r="A69" s="1071"/>
      <c r="B69" s="1072">
        <v>0</v>
      </c>
      <c r="C69" s="787"/>
      <c r="D69" s="788"/>
      <c r="E69" s="787"/>
      <c r="F69" s="788"/>
    </row>
    <row r="70" spans="1:6" ht="24.95" customHeight="1" thickBot="1">
      <c r="A70" s="267" t="s">
        <v>345</v>
      </c>
      <c r="B70" s="268">
        <f>SUM(B64:B69)</f>
        <v>0</v>
      </c>
      <c r="C70" s="791"/>
      <c r="D70" s="792"/>
      <c r="E70" s="791"/>
      <c r="F70" s="792"/>
    </row>
    <row r="71" spans="1:6" ht="24.95" customHeight="1" thickBot="1">
      <c r="A71" s="267" t="s">
        <v>346</v>
      </c>
      <c r="B71" s="268">
        <f>+B70+B61</f>
        <v>0</v>
      </c>
      <c r="C71" s="791"/>
      <c r="D71" s="792"/>
      <c r="E71" s="793"/>
      <c r="F71" s="794"/>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 right="0" top="0" bottom="0" header="0" footer="0"/>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9" zoomScale="60" zoomScaleNormal="60" zoomScaleSheetLayoutView="70" zoomScalePageLayoutView="60" workbookViewId="0">
      <selection activeCell="H17" sqref="H17"/>
    </sheetView>
  </sheetViews>
  <sheetFormatPr defaultColWidth="9.140625" defaultRowHeight="12.75"/>
  <cols>
    <col min="1" max="1" width="31.28515625" style="161" customWidth="1"/>
    <col min="2" max="2" width="100.42578125" style="161" customWidth="1"/>
    <col min="3" max="3" width="18.7109375" style="161" customWidth="1"/>
    <col min="4" max="4" width="25.7109375" style="161" customWidth="1"/>
    <col min="5" max="5" width="21.42578125" style="161" customWidth="1"/>
    <col min="6" max="6" width="6.85546875" style="161" customWidth="1"/>
    <col min="7" max="7" width="9.140625" style="161"/>
    <col min="8" max="8" width="59" style="161" customWidth="1"/>
    <col min="9" max="9" width="13.7109375" style="161" customWidth="1"/>
    <col min="10" max="10" width="12.7109375" style="161" bestFit="1" customWidth="1"/>
    <col min="11" max="11" width="14" style="161" customWidth="1"/>
    <col min="12" max="28" width="12.7109375" style="161" customWidth="1"/>
    <col min="29" max="29" width="11" style="161" customWidth="1"/>
    <col min="30" max="30" width="12.7109375" style="161" customWidth="1"/>
    <col min="31" max="31" width="12.42578125" style="161" customWidth="1"/>
    <col min="32" max="32" width="11.42578125" style="161" customWidth="1"/>
    <col min="33" max="33" width="2.28515625" style="161" customWidth="1"/>
    <col min="34" max="34" width="20.140625" style="161" customWidth="1"/>
    <col min="35" max="35" width="6" style="161" customWidth="1"/>
    <col min="36" max="36" width="14.42578125" style="161" customWidth="1"/>
    <col min="37" max="37" width="13.7109375" style="161" customWidth="1"/>
    <col min="38" max="38" width="2.140625" style="161" customWidth="1"/>
    <col min="39" max="40" width="9.140625" style="161"/>
    <col min="41" max="41" width="11.28515625" style="161" customWidth="1"/>
    <col min="42" max="42" width="11.42578125" style="161" customWidth="1"/>
    <col min="43" max="43" width="11" style="161" customWidth="1"/>
    <col min="44" max="44" width="11.140625" style="161" customWidth="1"/>
    <col min="45" max="16384" width="9.140625" style="161"/>
  </cols>
  <sheetData>
    <row r="1" spans="1:47" s="10" customFormat="1" ht="24" customHeight="1">
      <c r="A1" s="261"/>
      <c r="B1" s="261"/>
      <c r="C1" s="261"/>
      <c r="D1" s="261"/>
      <c r="E1" s="301" t="s">
        <v>347</v>
      </c>
      <c r="F1" s="261"/>
    </row>
    <row r="2" spans="1:47" s="10" customFormat="1" ht="24" customHeight="1">
      <c r="A2" s="261"/>
      <c r="B2" s="261"/>
      <c r="C2" s="261"/>
      <c r="D2" s="261"/>
      <c r="E2" s="261"/>
      <c r="F2" s="261"/>
    </row>
    <row r="3" spans="1:47" s="10" customFormat="1" ht="24" customHeight="1">
      <c r="A3" s="732" t="s">
        <v>10</v>
      </c>
      <c r="B3" s="732"/>
      <c r="C3" s="732"/>
      <c r="D3" s="732"/>
      <c r="E3" s="732"/>
      <c r="F3" s="261"/>
    </row>
    <row r="4" spans="1:47" s="10" customFormat="1" ht="23.45" customHeight="1">
      <c r="A4" s="732" t="s">
        <v>348</v>
      </c>
      <c r="B4" s="732"/>
      <c r="C4" s="732"/>
      <c r="D4" s="732"/>
      <c r="E4" s="732"/>
      <c r="F4" s="261"/>
    </row>
    <row r="5" spans="1:47" s="10" customFormat="1" ht="23.1" customHeight="1">
      <c r="A5" s="732"/>
      <c r="B5" s="732"/>
      <c r="C5" s="732"/>
      <c r="D5" s="732"/>
      <c r="E5" s="732"/>
      <c r="F5" s="261"/>
    </row>
    <row r="6" spans="1:47" s="10" customFormat="1" ht="24.95" customHeight="1">
      <c r="A6" s="734"/>
      <c r="B6" s="734"/>
      <c r="C6" s="734"/>
      <c r="D6" s="734"/>
      <c r="E6" s="734"/>
      <c r="F6" s="261"/>
    </row>
    <row r="7" spans="1:47" s="10" customFormat="1" ht="24.95" customHeight="1" thickBot="1">
      <c r="A7" s="732" t="s">
        <v>293</v>
      </c>
      <c r="B7" s="1029" t="str">
        <f>'CHECK SHEET'!D7</f>
        <v>Polk State College</v>
      </c>
      <c r="C7" s="1029"/>
      <c r="D7" s="1029"/>
      <c r="E7" s="1029"/>
      <c r="F7" s="1073"/>
    </row>
    <row r="8" spans="1:47" s="10" customFormat="1" ht="24.95" customHeight="1">
      <c r="A8" s="740"/>
      <c r="B8" s="740"/>
      <c r="C8" s="740"/>
      <c r="D8" s="740"/>
      <c r="E8" s="740"/>
    </row>
    <row r="9" spans="1:47" s="10" customFormat="1" ht="24.95" customHeight="1">
      <c r="A9" s="741"/>
      <c r="B9" s="741"/>
      <c r="C9" s="741"/>
      <c r="D9" s="741"/>
      <c r="E9" s="741"/>
    </row>
    <row r="10" spans="1:47" s="10" customFormat="1" ht="42.6" customHeight="1">
      <c r="A10" s="742" t="s">
        <v>349</v>
      </c>
      <c r="B10" s="742"/>
      <c r="C10" s="742"/>
      <c r="D10" s="742"/>
      <c r="E10" s="742"/>
    </row>
    <row r="11" spans="1:47" ht="24.95" customHeight="1" thickBot="1">
      <c r="A11" s="160"/>
      <c r="B11" s="160"/>
      <c r="C11" s="160"/>
      <c r="D11" s="160"/>
      <c r="E11" s="160"/>
      <c r="AT11" s="160"/>
      <c r="AU11" s="160"/>
    </row>
    <row r="12" spans="1:47" ht="78" customHeight="1" thickBot="1">
      <c r="A12" s="375" t="s">
        <v>350</v>
      </c>
      <c r="B12" s="375" t="s">
        <v>296</v>
      </c>
      <c r="C12" s="376" t="s">
        <v>351</v>
      </c>
      <c r="D12" s="376" t="s">
        <v>352</v>
      </c>
      <c r="E12" s="376" t="s">
        <v>353</v>
      </c>
    </row>
    <row r="13" spans="1:47" ht="24" customHeight="1">
      <c r="A13" s="377" t="s">
        <v>269</v>
      </c>
      <c r="B13" s="377" t="s">
        <v>303</v>
      </c>
      <c r="C13" s="378">
        <v>40101</v>
      </c>
      <c r="D13" s="405">
        <v>0</v>
      </c>
      <c r="E13" s="405">
        <v>0</v>
      </c>
    </row>
    <row r="14" spans="1:47" ht="24.95" customHeight="1">
      <c r="A14" s="936" t="s">
        <v>269</v>
      </c>
      <c r="B14" s="936" t="s">
        <v>205</v>
      </c>
      <c r="C14" s="1074" t="s">
        <v>304</v>
      </c>
      <c r="D14" s="396">
        <v>0</v>
      </c>
      <c r="E14" s="396">
        <v>0</v>
      </c>
    </row>
    <row r="15" spans="1:47" ht="24.95" customHeight="1">
      <c r="A15" s="936" t="s">
        <v>269</v>
      </c>
      <c r="B15" s="936" t="s">
        <v>206</v>
      </c>
      <c r="C15" s="1074" t="s">
        <v>305</v>
      </c>
      <c r="D15" s="396">
        <v>0</v>
      </c>
      <c r="E15" s="396">
        <v>0</v>
      </c>
    </row>
    <row r="16" spans="1:47" ht="24.95" customHeight="1">
      <c r="A16" s="936" t="s">
        <v>269</v>
      </c>
      <c r="B16" s="936" t="s">
        <v>207</v>
      </c>
      <c r="C16" s="1074" t="s">
        <v>306</v>
      </c>
      <c r="D16" s="396">
        <v>0</v>
      </c>
      <c r="E16" s="396">
        <v>0</v>
      </c>
    </row>
    <row r="17" spans="1:5" ht="24.95" customHeight="1">
      <c r="A17" s="936" t="s">
        <v>269</v>
      </c>
      <c r="B17" s="936" t="s">
        <v>208</v>
      </c>
      <c r="C17" s="1074" t="s">
        <v>307</v>
      </c>
      <c r="D17" s="397">
        <v>0</v>
      </c>
      <c r="E17" s="397">
        <v>0</v>
      </c>
    </row>
    <row r="18" spans="1:5" ht="24.95" customHeight="1" thickBot="1">
      <c r="A18" s="936" t="s">
        <v>269</v>
      </c>
      <c r="B18" s="936" t="s">
        <v>209</v>
      </c>
      <c r="C18" s="1074">
        <v>40160</v>
      </c>
      <c r="D18" s="398">
        <v>0</v>
      </c>
      <c r="E18" s="398">
        <v>0</v>
      </c>
    </row>
    <row r="19" spans="1:5" ht="24.95" customHeight="1" thickBot="1">
      <c r="A19" s="379"/>
      <c r="B19" s="432"/>
      <c r="C19" s="433"/>
      <c r="D19" s="795"/>
      <c r="E19" s="796"/>
    </row>
    <row r="20" spans="1:5" ht="24.95" customHeight="1" thickBot="1">
      <c r="A20" s="1075"/>
      <c r="B20" s="1075" t="s">
        <v>308</v>
      </c>
      <c r="C20" s="1075"/>
      <c r="D20" s="1075"/>
      <c r="E20" s="1076">
        <f>SUM(E13:E18)</f>
        <v>0</v>
      </c>
    </row>
    <row r="21" spans="1:5" ht="78" customHeight="1" thickBot="1">
      <c r="A21" s="375" t="s">
        <v>350</v>
      </c>
      <c r="B21" s="375" t="s">
        <v>296</v>
      </c>
      <c r="C21" s="376" t="s">
        <v>351</v>
      </c>
      <c r="D21" s="376" t="s">
        <v>354</v>
      </c>
      <c r="E21" s="376" t="s">
        <v>353</v>
      </c>
    </row>
    <row r="22" spans="1:5" s="158" customFormat="1" ht="24.95" customHeight="1">
      <c r="A22" s="498" t="s">
        <v>284</v>
      </c>
      <c r="B22" s="158" t="s">
        <v>303</v>
      </c>
      <c r="C22" s="434">
        <v>40301</v>
      </c>
      <c r="D22" s="405">
        <v>0</v>
      </c>
      <c r="E22" s="405">
        <v>0</v>
      </c>
    </row>
    <row r="23" spans="1:5" s="158" customFormat="1" ht="24.95" customHeight="1">
      <c r="A23" s="936" t="s">
        <v>284</v>
      </c>
      <c r="B23" s="531" t="s">
        <v>205</v>
      </c>
      <c r="C23" s="937" t="s">
        <v>311</v>
      </c>
      <c r="D23" s="938">
        <v>0</v>
      </c>
      <c r="E23" s="938">
        <v>0</v>
      </c>
    </row>
    <row r="24" spans="1:5" s="158" customFormat="1" ht="24.95" customHeight="1">
      <c r="A24" s="936" t="s">
        <v>284</v>
      </c>
      <c r="B24" s="531" t="s">
        <v>206</v>
      </c>
      <c r="C24" s="937" t="s">
        <v>312</v>
      </c>
      <c r="D24" s="938">
        <v>0</v>
      </c>
      <c r="E24" s="938">
        <v>0</v>
      </c>
    </row>
    <row r="25" spans="1:5" s="158" customFormat="1" ht="24.95" customHeight="1">
      <c r="A25" s="936" t="s">
        <v>284</v>
      </c>
      <c r="B25" s="531" t="s">
        <v>207</v>
      </c>
      <c r="C25" s="937" t="s">
        <v>313</v>
      </c>
      <c r="D25" s="938">
        <v>0</v>
      </c>
      <c r="E25" s="938">
        <v>0</v>
      </c>
    </row>
    <row r="26" spans="1:5" s="158" customFormat="1" ht="24.95" customHeight="1">
      <c r="A26" s="936" t="s">
        <v>284</v>
      </c>
      <c r="B26" s="531" t="s">
        <v>208</v>
      </c>
      <c r="C26" s="937" t="s">
        <v>314</v>
      </c>
      <c r="D26" s="938">
        <v>0</v>
      </c>
      <c r="E26" s="938">
        <v>0</v>
      </c>
    </row>
    <row r="27" spans="1:5" s="158" customFormat="1" ht="24.95" customHeight="1">
      <c r="A27" s="936" t="s">
        <v>284</v>
      </c>
      <c r="B27" s="531" t="s">
        <v>315</v>
      </c>
      <c r="C27" s="937">
        <v>40360</v>
      </c>
      <c r="D27" s="938">
        <v>0</v>
      </c>
      <c r="E27" s="938">
        <v>0</v>
      </c>
    </row>
    <row r="28" spans="1:5" s="158" customFormat="1" ht="24.95" customHeight="1" thickBot="1">
      <c r="A28" s="935" t="s">
        <v>284</v>
      </c>
      <c r="B28" s="1077" t="s">
        <v>316</v>
      </c>
      <c r="C28" s="380" t="s">
        <v>317</v>
      </c>
      <c r="D28" s="398">
        <v>0</v>
      </c>
      <c r="E28" s="1078">
        <v>0</v>
      </c>
    </row>
    <row r="29" spans="1:5" ht="24.95" customHeight="1" thickBot="1">
      <c r="A29" s="435"/>
      <c r="B29" s="436"/>
      <c r="C29" s="435"/>
      <c r="D29" s="381"/>
      <c r="E29" s="437"/>
    </row>
    <row r="30" spans="1:5" ht="24.95" customHeight="1" thickBot="1">
      <c r="A30" s="499"/>
      <c r="B30" s="438" t="s">
        <v>308</v>
      </c>
      <c r="C30" s="382"/>
      <c r="D30" s="382"/>
      <c r="E30" s="439">
        <f>SUM(E22:E28)</f>
        <v>0</v>
      </c>
    </row>
    <row r="31" spans="1:5" ht="24.95" customHeight="1" thickBot="1">
      <c r="A31" s="382" t="s">
        <v>355</v>
      </c>
      <c r="B31" s="383"/>
      <c r="C31" s="1079"/>
      <c r="D31" s="1079"/>
      <c r="E31" s="1080">
        <f>E20+E30</f>
        <v>0</v>
      </c>
    </row>
    <row r="32" spans="1:5" ht="24.95" customHeight="1">
      <c r="A32" s="160"/>
      <c r="B32" s="160"/>
      <c r="C32" s="160"/>
      <c r="D32" s="160"/>
      <c r="E32" s="160"/>
    </row>
    <row r="33" spans="1:5" ht="24.95" customHeight="1" thickBot="1">
      <c r="A33" s="9" t="s">
        <v>356</v>
      </c>
      <c r="B33" s="160"/>
      <c r="C33" s="160"/>
      <c r="D33" s="160"/>
      <c r="E33" s="160"/>
    </row>
    <row r="34" spans="1:5" ht="24.95" customHeight="1">
      <c r="A34" s="674"/>
      <c r="B34" s="675"/>
      <c r="C34" s="675"/>
      <c r="D34" s="675"/>
      <c r="E34" s="676"/>
    </row>
    <row r="35" spans="1:5" ht="24.95" customHeight="1">
      <c r="A35" s="677"/>
      <c r="B35" s="678"/>
      <c r="C35" s="678"/>
      <c r="D35" s="678"/>
      <c r="E35" s="679"/>
    </row>
    <row r="36" spans="1:5" ht="24.95" customHeight="1">
      <c r="A36" s="677"/>
      <c r="B36" s="678"/>
      <c r="C36" s="678"/>
      <c r="D36" s="678"/>
      <c r="E36" s="679"/>
    </row>
    <row r="37" spans="1:5" ht="24.95" customHeight="1">
      <c r="A37" s="677"/>
      <c r="B37" s="678"/>
      <c r="C37" s="678"/>
      <c r="D37" s="678"/>
      <c r="E37" s="679"/>
    </row>
    <row r="38" spans="1:5" ht="24.95" customHeight="1" thickBot="1">
      <c r="A38" s="680"/>
      <c r="B38" s="1081"/>
      <c r="C38" s="1081"/>
      <c r="D38" s="1081"/>
      <c r="E38" s="1082"/>
    </row>
    <row r="39" spans="1:5" ht="20.25" customHeight="1">
      <c r="A39" s="160"/>
      <c r="B39" s="160"/>
      <c r="C39" s="160"/>
      <c r="D39" s="160"/>
      <c r="E39" s="160"/>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384"/>
      <c r="AI60" s="384"/>
    </row>
    <row r="61" spans="34:35" ht="20.25" customHeight="1">
      <c r="AH61" s="384"/>
      <c r="AI61" s="384"/>
    </row>
    <row r="62" spans="34:35" ht="20.25" customHeight="1">
      <c r="AH62" s="384"/>
    </row>
    <row r="63" spans="34:35" ht="20.25" customHeight="1"/>
    <row r="64" spans="34:35" ht="20.25" customHeight="1">
      <c r="AH64" s="384"/>
      <c r="AI64" s="384"/>
    </row>
    <row r="65" spans="1:35" ht="20.25" customHeight="1">
      <c r="AH65" s="384"/>
      <c r="AI65" s="384"/>
    </row>
    <row r="66" spans="1:35" ht="20.25" customHeight="1">
      <c r="A66" s="160"/>
      <c r="B66" s="160"/>
      <c r="C66" s="160"/>
      <c r="D66" s="160"/>
      <c r="E66" s="160"/>
      <c r="AH66" s="384"/>
      <c r="AI66" s="384"/>
    </row>
    <row r="67" spans="1:35" ht="20.25" customHeight="1">
      <c r="A67" s="160"/>
      <c r="B67" s="160"/>
      <c r="C67" s="160"/>
      <c r="D67" s="160"/>
      <c r="E67" s="160"/>
    </row>
    <row r="68" spans="1:35" ht="20.25" customHeight="1">
      <c r="A68" s="160"/>
      <c r="B68" s="160"/>
      <c r="C68" s="160"/>
      <c r="D68" s="160"/>
      <c r="E68" s="160"/>
      <c r="AH68" s="384"/>
    </row>
    <row r="69" spans="1:35" ht="20.25" customHeight="1">
      <c r="A69" s="160"/>
      <c r="B69" s="160"/>
      <c r="C69" s="160"/>
      <c r="D69" s="160"/>
      <c r="E69" s="160"/>
      <c r="AH69" s="384"/>
      <c r="AI69" s="384"/>
    </row>
    <row r="70" spans="1:35" ht="20.25" customHeight="1">
      <c r="AH70" s="384"/>
      <c r="AI70" s="384"/>
    </row>
    <row r="71" spans="1:35" ht="20.25" customHeight="1">
      <c r="AH71" s="384"/>
    </row>
    <row r="72" spans="1:35" ht="20.25" customHeight="1">
      <c r="AH72" s="384"/>
    </row>
    <row r="73" spans="1:35" ht="20.25" customHeight="1">
      <c r="AH73" s="384"/>
    </row>
    <row r="74" spans="1:35" ht="20.25" customHeight="1">
      <c r="AH74" s="384"/>
      <c r="AI74" s="384"/>
    </row>
    <row r="75" spans="1:35" ht="20.25" customHeight="1"/>
    <row r="76" spans="1:35" ht="20.25" customHeight="1">
      <c r="AH76" s="384"/>
    </row>
    <row r="77" spans="1:35" ht="20.25" customHeight="1">
      <c r="AH77" s="384"/>
      <c r="AI77" s="384"/>
    </row>
    <row r="78" spans="1:35" ht="20.25" customHeight="1">
      <c r="AH78" s="384"/>
      <c r="AI78" s="384"/>
    </row>
    <row r="79" spans="1:35" ht="20.25" customHeight="1">
      <c r="AH79" s="384"/>
      <c r="AI79" s="384"/>
    </row>
    <row r="80" spans="1:35" ht="20.25" customHeight="1">
      <c r="AH80" s="384"/>
      <c r="AI80" s="384"/>
    </row>
    <row r="81" spans="3:35" ht="20.25" customHeight="1">
      <c r="AH81" s="384"/>
    </row>
    <row r="82" spans="3:35" ht="20.25" customHeight="1">
      <c r="AH82" s="384"/>
      <c r="AI82" s="384"/>
    </row>
    <row r="83" spans="3:35" ht="20.25" customHeight="1">
      <c r="AH83" s="384"/>
      <c r="AI83" s="384"/>
    </row>
    <row r="84" spans="3:35" ht="20.25" customHeight="1">
      <c r="AH84" s="384"/>
      <c r="AI84" s="384"/>
    </row>
    <row r="85" spans="3:35" ht="20.25" customHeight="1"/>
    <row r="86" spans="3:35" ht="20.25" customHeight="1">
      <c r="AH86" s="384"/>
      <c r="AI86" s="384"/>
    </row>
    <row r="87" spans="3:35" ht="18" customHeight="1">
      <c r="AH87" s="384"/>
      <c r="AI87" s="384"/>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61">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70" zoomScaleNormal="70" zoomScaleSheetLayoutView="70" zoomScalePageLayoutView="70" workbookViewId="0">
      <selection activeCell="I6" sqref="I6"/>
    </sheetView>
  </sheetViews>
  <sheetFormatPr defaultColWidth="9.140625" defaultRowHeight="18.75"/>
  <cols>
    <col min="1" max="1" width="57" style="158" customWidth="1"/>
    <col min="2" max="2" width="1.42578125" style="158" customWidth="1"/>
    <col min="3" max="3" width="21.28515625" style="158" customWidth="1"/>
    <col min="4" max="4" width="9.140625" style="158"/>
    <col min="5" max="5" width="58.42578125" style="158" customWidth="1"/>
    <col min="6" max="6" width="17" style="158" customWidth="1"/>
    <col min="7" max="7" width="25.42578125" style="158" customWidth="1"/>
    <col min="8" max="8" width="1.85546875" style="158" customWidth="1"/>
    <col min="9" max="9" width="11.7109375" style="158" bestFit="1" customWidth="1"/>
    <col min="10" max="10" width="15.42578125" style="158" bestFit="1" customWidth="1"/>
    <col min="11" max="16384" width="9.140625" style="158"/>
  </cols>
  <sheetData>
    <row r="1" spans="1:8" ht="26.25">
      <c r="A1" s="743"/>
      <c r="B1" s="743"/>
      <c r="C1" s="743"/>
      <c r="D1" s="743"/>
      <c r="E1" s="743"/>
      <c r="F1" s="743"/>
      <c r="G1" s="744"/>
    </row>
    <row r="2" spans="1:8" ht="30" customHeight="1" thickBot="1">
      <c r="A2" s="744" t="s">
        <v>143</v>
      </c>
      <c r="B2" s="1029" t="str">
        <f>'CHECK SHEET'!D7</f>
        <v>Polk State College</v>
      </c>
      <c r="C2" s="1029"/>
      <c r="D2" s="1029"/>
      <c r="E2" s="1029"/>
      <c r="F2" s="1029"/>
      <c r="G2" s="745"/>
    </row>
    <row r="3" spans="1:8" ht="23.1" customHeight="1">
      <c r="A3" s="732" t="s">
        <v>357</v>
      </c>
      <c r="B3" s="732"/>
      <c r="C3" s="732"/>
      <c r="D3" s="732"/>
      <c r="E3" s="732"/>
      <c r="F3" s="732"/>
      <c r="G3" s="732"/>
    </row>
    <row r="4" spans="1:8" ht="23.45" customHeight="1">
      <c r="A4" s="732" t="s">
        <v>358</v>
      </c>
      <c r="B4" s="732"/>
      <c r="C4" s="732"/>
      <c r="D4" s="732"/>
      <c r="E4" s="732"/>
      <c r="F4" s="732"/>
      <c r="G4" s="732"/>
    </row>
    <row r="5" spans="1:8" ht="23.45" customHeight="1">
      <c r="A5" s="732" t="s">
        <v>359</v>
      </c>
      <c r="B5" s="732"/>
      <c r="C5" s="732"/>
      <c r="D5" s="732"/>
      <c r="E5" s="732"/>
      <c r="F5" s="732"/>
      <c r="G5" s="732"/>
    </row>
    <row r="6" spans="1:8" ht="20.100000000000001" customHeight="1">
      <c r="A6" s="746"/>
      <c r="B6" s="746"/>
      <c r="C6" s="746"/>
      <c r="D6" s="746"/>
      <c r="E6" s="746"/>
      <c r="F6" s="746"/>
      <c r="G6" s="746"/>
    </row>
    <row r="7" spans="1:8" ht="38.450000000000003" customHeight="1">
      <c r="A7" s="747" t="s">
        <v>360</v>
      </c>
      <c r="B7" s="747"/>
      <c r="C7" s="747"/>
      <c r="D7" s="747"/>
      <c r="E7" s="747"/>
      <c r="F7" s="747"/>
      <c r="G7" s="747"/>
      <c r="H7" s="164"/>
    </row>
    <row r="8" spans="1:8" ht="20.100000000000001" customHeight="1">
      <c r="A8" s="163"/>
      <c r="B8" s="163"/>
      <c r="C8" s="163"/>
      <c r="D8" s="163"/>
      <c r="E8" s="163"/>
      <c r="F8" s="163"/>
      <c r="G8" s="163"/>
      <c r="H8" s="164"/>
    </row>
    <row r="9" spans="1:8" ht="76.349999999999994" customHeight="1">
      <c r="A9" s="459" t="s">
        <v>361</v>
      </c>
      <c r="B9" s="460" t="s">
        <v>362</v>
      </c>
      <c r="C9" s="460"/>
      <c r="D9" s="460"/>
      <c r="E9" s="460"/>
      <c r="F9" s="461" t="s">
        <v>351</v>
      </c>
      <c r="G9" s="462" t="s">
        <v>363</v>
      </c>
    </row>
    <row r="10" spans="1:8" ht="20.100000000000001" customHeight="1">
      <c r="A10" s="472" t="s">
        <v>295</v>
      </c>
      <c r="B10" s="473"/>
      <c r="C10" s="473"/>
      <c r="D10" s="473"/>
      <c r="E10" s="473"/>
      <c r="F10" s="474"/>
      <c r="G10" s="475"/>
    </row>
    <row r="11" spans="1:8" ht="20.100000000000001" customHeight="1">
      <c r="A11" s="443"/>
      <c r="B11" s="165"/>
      <c r="C11" s="165"/>
      <c r="D11" s="165"/>
      <c r="E11" s="165"/>
      <c r="F11" s="166"/>
      <c r="G11" s="167"/>
    </row>
    <row r="12" spans="1:8" ht="20.100000000000001" customHeight="1">
      <c r="A12" s="443" t="s">
        <v>269</v>
      </c>
      <c r="B12" s="165"/>
      <c r="C12" s="165" t="s">
        <v>303</v>
      </c>
      <c r="D12" s="165"/>
      <c r="E12" s="165"/>
      <c r="F12" s="168">
        <v>40101</v>
      </c>
      <c r="G12" s="961">
        <f>+'EXHIBIT C'!H10+'EXHIBIT C(2)'!E13</f>
        <v>1667182</v>
      </c>
    </row>
    <row r="13" spans="1:8" ht="20.100000000000001" customHeight="1">
      <c r="A13" s="443" t="s">
        <v>269</v>
      </c>
      <c r="B13" s="165"/>
      <c r="C13" s="158" t="s">
        <v>205</v>
      </c>
      <c r="D13" s="165"/>
      <c r="E13" s="165"/>
      <c r="F13" s="169" t="s">
        <v>304</v>
      </c>
      <c r="G13" s="961">
        <f>+'EXHIBIT C'!H11+'EXHIBIT C(2)'!E14</f>
        <v>8130320</v>
      </c>
    </row>
    <row r="14" spans="1:8" ht="20.100000000000001" customHeight="1">
      <c r="A14" s="443" t="s">
        <v>269</v>
      </c>
      <c r="B14" s="165"/>
      <c r="C14" s="165" t="s">
        <v>206</v>
      </c>
      <c r="D14" s="165"/>
      <c r="E14" s="165"/>
      <c r="F14" s="169" t="s">
        <v>305</v>
      </c>
      <c r="G14" s="962">
        <f>+'EXHIBIT C'!H12+'EXHIBIT C(2)'!E15</f>
        <v>2898624</v>
      </c>
    </row>
    <row r="15" spans="1:8" ht="20.100000000000001" customHeight="1">
      <c r="A15" s="443" t="s">
        <v>269</v>
      </c>
      <c r="B15" s="165"/>
      <c r="C15" s="170" t="s">
        <v>364</v>
      </c>
      <c r="D15" s="165"/>
      <c r="E15" s="165"/>
      <c r="F15" s="169" t="s">
        <v>306</v>
      </c>
      <c r="G15" s="962">
        <f>+'EXHIBIT C'!H13+'EXHIBIT C(2)'!E16</f>
        <v>390708</v>
      </c>
    </row>
    <row r="16" spans="1:8" ht="20.100000000000001" customHeight="1">
      <c r="A16" s="443" t="s">
        <v>269</v>
      </c>
      <c r="B16" s="165"/>
      <c r="C16" s="170" t="s">
        <v>365</v>
      </c>
      <c r="D16" s="165"/>
      <c r="E16" s="165"/>
      <c r="F16" s="169" t="s">
        <v>307</v>
      </c>
      <c r="G16" s="171">
        <f>+'EXHIBIT C'!H14+'EXHIBIT C(2)'!E17</f>
        <v>244698</v>
      </c>
    </row>
    <row r="17" spans="1:7" ht="20.100000000000001" customHeight="1">
      <c r="A17" s="443" t="s">
        <v>269</v>
      </c>
      <c r="B17" s="165"/>
      <c r="C17" s="158" t="s">
        <v>209</v>
      </c>
      <c r="D17" s="165"/>
      <c r="E17" s="165"/>
      <c r="F17" s="168">
        <v>40160</v>
      </c>
      <c r="G17" s="171">
        <f>+'EXHIBIT C'!H15+'EXHIBIT C(2)'!E18</f>
        <v>0</v>
      </c>
    </row>
    <row r="18" spans="1:7" ht="20.100000000000001" customHeight="1">
      <c r="A18" s="443"/>
      <c r="B18" s="165"/>
      <c r="C18" s="165"/>
      <c r="D18" s="165"/>
      <c r="E18" s="165"/>
      <c r="F18" s="169"/>
      <c r="G18" s="171"/>
    </row>
    <row r="19" spans="1:7" ht="20.100000000000001" customHeight="1">
      <c r="A19" s="444" t="s">
        <v>366</v>
      </c>
      <c r="B19" s="165"/>
      <c r="C19" s="165"/>
      <c r="D19" s="165"/>
      <c r="E19" s="165"/>
      <c r="F19" s="169"/>
      <c r="G19" s="574">
        <f>SUM(G12:G17)</f>
        <v>13331532</v>
      </c>
    </row>
    <row r="20" spans="1:7" ht="20.100000000000001" customHeight="1">
      <c r="A20" s="443"/>
      <c r="B20" s="165"/>
      <c r="C20" s="165"/>
      <c r="D20" s="165"/>
      <c r="E20" s="165"/>
      <c r="F20" s="169"/>
      <c r="G20" s="172"/>
    </row>
    <row r="21" spans="1:7" ht="20.100000000000001" customHeight="1">
      <c r="A21" s="443" t="s">
        <v>284</v>
      </c>
      <c r="B21" s="165"/>
      <c r="C21" s="165" t="s">
        <v>303</v>
      </c>
      <c r="D21" s="165"/>
      <c r="E21" s="165"/>
      <c r="F21" s="168">
        <v>40301</v>
      </c>
      <c r="G21" s="963">
        <f>+'EXHIBIT C'!F19+'EXHIBIT C(2)'!E22</f>
        <v>50629</v>
      </c>
    </row>
    <row r="22" spans="1:7" ht="20.100000000000001" customHeight="1">
      <c r="A22" s="443" t="s">
        <v>284</v>
      </c>
      <c r="B22" s="165"/>
      <c r="C22" s="158" t="s">
        <v>205</v>
      </c>
      <c r="D22" s="165"/>
      <c r="E22" s="165"/>
      <c r="F22" s="169" t="s">
        <v>311</v>
      </c>
      <c r="G22" s="963">
        <f>+'EXHIBIT C'!F20+'EXHIBIT C(2)'!E23</f>
        <v>790186</v>
      </c>
    </row>
    <row r="23" spans="1:7" ht="20.100000000000001" customHeight="1">
      <c r="A23" s="443" t="s">
        <v>284</v>
      </c>
      <c r="B23" s="165"/>
      <c r="C23" s="165" t="s">
        <v>206</v>
      </c>
      <c r="D23" s="165"/>
      <c r="E23" s="165"/>
      <c r="F23" s="169" t="s">
        <v>312</v>
      </c>
      <c r="G23" s="964">
        <f>+'EXHIBIT C'!F21+'EXHIBIT C(2)'!E24</f>
        <v>286076</v>
      </c>
    </row>
    <row r="24" spans="1:7" ht="20.100000000000001" customHeight="1">
      <c r="A24" s="443" t="s">
        <v>284</v>
      </c>
      <c r="B24" s="165"/>
      <c r="C24" s="170" t="s">
        <v>364</v>
      </c>
      <c r="D24" s="165"/>
      <c r="E24" s="165"/>
      <c r="F24" s="169" t="s">
        <v>313</v>
      </c>
      <c r="G24" s="964">
        <f>+'EXHIBIT C'!F22+'EXHIBIT C(2)'!E25</f>
        <v>5505</v>
      </c>
    </row>
    <row r="25" spans="1:7" ht="20.100000000000001" customHeight="1">
      <c r="A25" s="443" t="s">
        <v>284</v>
      </c>
      <c r="B25" s="165"/>
      <c r="C25" s="170" t="s">
        <v>365</v>
      </c>
      <c r="D25" s="165"/>
      <c r="E25" s="165"/>
      <c r="F25" s="169" t="s">
        <v>314</v>
      </c>
      <c r="G25" s="964">
        <f>+'EXHIBIT C'!F23+'EXHIBIT C(2)'!E26</f>
        <v>102064</v>
      </c>
    </row>
    <row r="26" spans="1:7" ht="20.100000000000001" customHeight="1">
      <c r="A26" s="443" t="s">
        <v>284</v>
      </c>
      <c r="B26" s="165"/>
      <c r="C26" s="158" t="s">
        <v>315</v>
      </c>
      <c r="D26" s="165"/>
      <c r="E26" s="165"/>
      <c r="F26" s="168">
        <v>40360</v>
      </c>
      <c r="G26" s="964">
        <f>+'EXHIBIT C'!F24+'EXHIBIT C(2)'!E27</f>
        <v>0</v>
      </c>
    </row>
    <row r="27" spans="1:7" ht="20.100000000000001" customHeight="1">
      <c r="A27" s="443" t="s">
        <v>284</v>
      </c>
      <c r="B27" s="165"/>
      <c r="C27" s="158" t="s">
        <v>316</v>
      </c>
      <c r="D27" s="165"/>
      <c r="E27" s="165"/>
      <c r="F27" s="168" t="s">
        <v>317</v>
      </c>
      <c r="G27" s="964">
        <f>+'EXHIBIT C'!F25+'EXHIBIT C(2)'!E28</f>
        <v>0</v>
      </c>
    </row>
    <row r="28" spans="1:7" ht="20.100000000000001" customHeight="1">
      <c r="A28" s="443"/>
      <c r="B28" s="165"/>
      <c r="C28" s="165"/>
      <c r="D28" s="165"/>
      <c r="E28" s="165"/>
      <c r="F28" s="169"/>
      <c r="G28" s="173"/>
    </row>
    <row r="29" spans="1:7" ht="20.100000000000001" customHeight="1">
      <c r="A29" s="444" t="s">
        <v>367</v>
      </c>
      <c r="B29" s="165"/>
      <c r="C29" s="165"/>
      <c r="D29" s="165"/>
      <c r="E29" s="165"/>
      <c r="F29" s="169"/>
      <c r="G29" s="575">
        <f>SUM(G21:G27)</f>
        <v>1234460</v>
      </c>
    </row>
    <row r="30" spans="1:7" ht="20.100000000000001" customHeight="1">
      <c r="A30" s="443"/>
      <c r="B30" s="165"/>
      <c r="C30" s="165"/>
      <c r="D30" s="165"/>
      <c r="E30" s="165"/>
      <c r="F30" s="169"/>
      <c r="G30" s="174"/>
    </row>
    <row r="31" spans="1:7" ht="20.100000000000001" customHeight="1">
      <c r="A31" s="443" t="s">
        <v>368</v>
      </c>
      <c r="B31" s="165"/>
      <c r="C31" s="681" t="s">
        <v>325</v>
      </c>
      <c r="D31" s="681"/>
      <c r="E31" s="681"/>
      <c r="F31" s="169" t="s">
        <v>326</v>
      </c>
      <c r="G31" s="171">
        <f>'EXHIBIT C'!H33</f>
        <v>0</v>
      </c>
    </row>
    <row r="32" spans="1:7" ht="20.100000000000001" customHeight="1">
      <c r="A32" s="443" t="s">
        <v>368</v>
      </c>
      <c r="B32" s="165"/>
      <c r="C32" s="158" t="s">
        <v>327</v>
      </c>
      <c r="D32" s="165"/>
      <c r="E32" s="165"/>
      <c r="F32" s="169" t="s">
        <v>328</v>
      </c>
      <c r="G32" s="171">
        <f>'EXHIBIT C'!H34</f>
        <v>0</v>
      </c>
    </row>
    <row r="33" spans="1:7" ht="20.100000000000001" customHeight="1">
      <c r="A33" s="443" t="s">
        <v>369</v>
      </c>
      <c r="B33" s="165"/>
      <c r="C33" s="165" t="s">
        <v>325</v>
      </c>
      <c r="D33" s="165"/>
      <c r="E33" s="165"/>
      <c r="F33" s="169" t="s">
        <v>326</v>
      </c>
      <c r="G33" s="171">
        <f>'EXHIBIT C'!H35</f>
        <v>0</v>
      </c>
    </row>
    <row r="34" spans="1:7" ht="20.100000000000001" customHeight="1">
      <c r="A34" s="443" t="s">
        <v>369</v>
      </c>
      <c r="B34" s="165"/>
      <c r="C34" s="158" t="s">
        <v>327</v>
      </c>
      <c r="D34" s="165"/>
      <c r="E34" s="165"/>
      <c r="F34" s="169" t="s">
        <v>328</v>
      </c>
      <c r="G34" s="171">
        <f>'EXHIBIT C'!H36</f>
        <v>0</v>
      </c>
    </row>
    <row r="35" spans="1:7" ht="20.100000000000001" customHeight="1">
      <c r="A35" s="443"/>
      <c r="B35" s="165"/>
      <c r="C35" s="165"/>
      <c r="D35" s="165"/>
      <c r="E35" s="165"/>
      <c r="F35" s="169"/>
      <c r="G35" s="175"/>
    </row>
    <row r="36" spans="1:7" ht="20.100000000000001" customHeight="1">
      <c r="A36" s="444" t="s">
        <v>370</v>
      </c>
      <c r="B36" s="165"/>
      <c r="C36" s="165"/>
      <c r="D36" s="165"/>
      <c r="E36" s="165"/>
      <c r="F36" s="169"/>
      <c r="G36" s="575">
        <f>SUM(G31:G34)</f>
        <v>0</v>
      </c>
    </row>
    <row r="37" spans="1:7" ht="20.100000000000001" customHeight="1">
      <c r="A37" s="443"/>
      <c r="B37" s="165"/>
      <c r="C37" s="165"/>
      <c r="D37" s="165"/>
      <c r="E37" s="165"/>
      <c r="F37" s="169"/>
      <c r="G37" s="173"/>
    </row>
    <row r="38" spans="1:7" ht="20.100000000000001" customHeight="1">
      <c r="A38" s="443" t="s">
        <v>371</v>
      </c>
      <c r="B38" s="165"/>
      <c r="C38" s="165" t="s">
        <v>325</v>
      </c>
      <c r="D38" s="165"/>
      <c r="E38" s="165"/>
      <c r="F38" s="169" t="s">
        <v>332</v>
      </c>
      <c r="G38" s="964">
        <f>'EXHIBIT C'!F40</f>
        <v>0</v>
      </c>
    </row>
    <row r="39" spans="1:7" ht="20.100000000000001" customHeight="1">
      <c r="A39" s="443" t="s">
        <v>371</v>
      </c>
      <c r="B39" s="165"/>
      <c r="C39" s="682" t="s">
        <v>327</v>
      </c>
      <c r="D39" s="682"/>
      <c r="E39" s="682"/>
      <c r="F39" s="169" t="s">
        <v>333</v>
      </c>
      <c r="G39" s="964">
        <f>'EXHIBIT C'!F41</f>
        <v>0</v>
      </c>
    </row>
    <row r="40" spans="1:7" ht="20.100000000000001" customHeight="1">
      <c r="A40" s="443" t="s">
        <v>372</v>
      </c>
      <c r="B40" s="165"/>
      <c r="C40" s="165" t="s">
        <v>325</v>
      </c>
      <c r="D40" s="165"/>
      <c r="E40" s="165"/>
      <c r="F40" s="169" t="s">
        <v>332</v>
      </c>
      <c r="G40" s="964">
        <f>'EXHIBIT C'!F42</f>
        <v>0</v>
      </c>
    </row>
    <row r="41" spans="1:7" ht="20.100000000000001" customHeight="1">
      <c r="A41" s="443" t="s">
        <v>372</v>
      </c>
      <c r="B41" s="165"/>
      <c r="C41" s="682" t="s">
        <v>327</v>
      </c>
      <c r="D41" s="682"/>
      <c r="E41" s="682"/>
      <c r="F41" s="169" t="s">
        <v>333</v>
      </c>
      <c r="G41" s="964">
        <f>'EXHIBIT C'!F43</f>
        <v>0</v>
      </c>
    </row>
    <row r="42" spans="1:7" ht="20.100000000000001" customHeight="1">
      <c r="A42" s="443"/>
      <c r="B42" s="165"/>
      <c r="C42" s="165"/>
      <c r="D42" s="165"/>
      <c r="E42" s="165"/>
      <c r="F42" s="169"/>
      <c r="G42" s="173"/>
    </row>
    <row r="43" spans="1:7" ht="20.100000000000001" customHeight="1">
      <c r="A43" s="444" t="s">
        <v>373</v>
      </c>
      <c r="B43" s="165"/>
      <c r="C43" s="165"/>
      <c r="D43" s="165"/>
      <c r="E43" s="165"/>
      <c r="F43" s="169"/>
      <c r="G43" s="575">
        <f>SUM(G38:G42)</f>
        <v>0</v>
      </c>
    </row>
    <row r="44" spans="1:7" ht="20.100000000000001" customHeight="1">
      <c r="A44" s="443"/>
      <c r="B44" s="165"/>
      <c r="C44" s="165"/>
      <c r="D44" s="165"/>
      <c r="E44" s="165"/>
      <c r="F44" s="169"/>
      <c r="G44" s="174"/>
    </row>
    <row r="45" spans="1:7" ht="20.100000000000001" customHeight="1">
      <c r="A45" s="444" t="s">
        <v>374</v>
      </c>
      <c r="B45" s="165"/>
      <c r="C45" s="165"/>
      <c r="D45" s="165"/>
      <c r="E45" s="165"/>
      <c r="F45" s="169"/>
      <c r="G45" s="1131">
        <f>G19+G29+G36+G43</f>
        <v>14565992</v>
      </c>
    </row>
    <row r="46" spans="1:7" ht="20.100000000000001" customHeight="1">
      <c r="A46" s="443"/>
      <c r="B46" s="165"/>
      <c r="C46" s="165"/>
      <c r="D46" s="165"/>
      <c r="E46" s="165"/>
      <c r="F46" s="169"/>
      <c r="G46" s="173"/>
    </row>
    <row r="47" spans="1:7" ht="20.100000000000001" customHeight="1">
      <c r="A47" s="443" t="s">
        <v>375</v>
      </c>
      <c r="B47" s="165"/>
      <c r="C47" s="165"/>
      <c r="D47" s="165"/>
      <c r="E47" s="165"/>
      <c r="F47" s="169" t="s">
        <v>376</v>
      </c>
      <c r="G47" s="965">
        <v>0</v>
      </c>
    </row>
    <row r="48" spans="1:7" ht="20.100000000000001" customHeight="1">
      <c r="A48" s="443" t="s">
        <v>377</v>
      </c>
      <c r="B48" s="176"/>
      <c r="C48" s="176"/>
      <c r="D48" s="176"/>
      <c r="E48" s="176"/>
      <c r="F48" s="177" t="s">
        <v>378</v>
      </c>
      <c r="G48" s="965">
        <v>4300000</v>
      </c>
    </row>
    <row r="49" spans="1:7" ht="20.100000000000001" customHeight="1">
      <c r="A49" s="443" t="s">
        <v>379</v>
      </c>
      <c r="C49" s="176"/>
      <c r="D49" s="176"/>
      <c r="E49" s="176"/>
      <c r="F49" s="177" t="s">
        <v>380</v>
      </c>
      <c r="G49" s="965">
        <v>0</v>
      </c>
    </row>
    <row r="50" spans="1:7" ht="20.100000000000001" customHeight="1">
      <c r="A50" s="443" t="s">
        <v>381</v>
      </c>
      <c r="B50" s="165"/>
      <c r="C50" s="165"/>
      <c r="D50" s="165"/>
      <c r="E50" s="165"/>
      <c r="F50" s="169" t="s">
        <v>382</v>
      </c>
      <c r="G50" s="965">
        <v>0</v>
      </c>
    </row>
    <row r="51" spans="1:7" ht="20.100000000000001" customHeight="1">
      <c r="A51" s="443" t="s">
        <v>383</v>
      </c>
      <c r="B51" s="165"/>
      <c r="C51" s="165"/>
      <c r="D51" s="165"/>
      <c r="E51" s="165"/>
      <c r="F51" s="184">
        <v>40280</v>
      </c>
      <c r="G51" s="965">
        <f>1100000+1315000</f>
        <v>2415000</v>
      </c>
    </row>
    <row r="52" spans="1:7" ht="20.100000000000001" customHeight="1">
      <c r="A52" s="443" t="s">
        <v>384</v>
      </c>
      <c r="B52" s="165"/>
      <c r="C52" s="165"/>
      <c r="D52" s="165"/>
      <c r="E52" s="165"/>
      <c r="F52" s="169" t="s">
        <v>385</v>
      </c>
      <c r="G52" s="965">
        <v>465000</v>
      </c>
    </row>
    <row r="53" spans="1:7" ht="20.100000000000001" customHeight="1">
      <c r="A53" s="443" t="s">
        <v>386</v>
      </c>
      <c r="B53" s="165"/>
      <c r="C53" s="165"/>
      <c r="D53" s="165"/>
      <c r="E53" s="165"/>
      <c r="F53" s="168">
        <v>40450</v>
      </c>
      <c r="G53" s="965">
        <v>0</v>
      </c>
    </row>
    <row r="54" spans="1:7" ht="20.100000000000001" customHeight="1">
      <c r="A54" s="443" t="s">
        <v>387</v>
      </c>
      <c r="B54" s="165"/>
      <c r="C54" s="165"/>
      <c r="D54" s="165"/>
      <c r="E54" s="165"/>
      <c r="F54" s="169" t="s">
        <v>388</v>
      </c>
      <c r="G54" s="965">
        <v>0</v>
      </c>
    </row>
    <row r="55" spans="1:7" ht="20.100000000000001" customHeight="1">
      <c r="A55" s="443" t="s">
        <v>389</v>
      </c>
      <c r="B55" s="165"/>
      <c r="C55" s="165"/>
      <c r="D55" s="165"/>
      <c r="E55" s="165"/>
      <c r="F55" s="177" t="s">
        <v>390</v>
      </c>
      <c r="G55" s="965">
        <v>0</v>
      </c>
    </row>
    <row r="56" spans="1:7" ht="20.100000000000001" customHeight="1">
      <c r="A56" s="443" t="s">
        <v>391</v>
      </c>
      <c r="B56" s="165"/>
      <c r="C56" s="165"/>
      <c r="D56" s="165"/>
      <c r="E56" s="165"/>
      <c r="F56" s="169" t="s">
        <v>392</v>
      </c>
      <c r="G56" s="965">
        <v>0</v>
      </c>
    </row>
    <row r="57" spans="1:7" ht="20.100000000000001" customHeight="1">
      <c r="A57" s="443" t="s">
        <v>393</v>
      </c>
      <c r="B57" s="165"/>
      <c r="C57" s="165"/>
      <c r="D57" s="165"/>
      <c r="E57" s="165"/>
      <c r="F57" s="177" t="s">
        <v>394</v>
      </c>
      <c r="G57" s="965">
        <v>0</v>
      </c>
    </row>
    <row r="58" spans="1:7" ht="20.100000000000001" customHeight="1">
      <c r="A58" s="443" t="s">
        <v>395</v>
      </c>
      <c r="B58" s="165"/>
      <c r="C58" s="165"/>
      <c r="D58" s="165"/>
      <c r="E58" s="165"/>
      <c r="F58" s="169" t="s">
        <v>396</v>
      </c>
      <c r="G58" s="965">
        <v>18000</v>
      </c>
    </row>
    <row r="59" spans="1:7" ht="20.100000000000001" customHeight="1">
      <c r="A59" s="443" t="s">
        <v>397</v>
      </c>
      <c r="B59" s="165"/>
      <c r="C59" s="165"/>
      <c r="D59" s="165"/>
      <c r="E59" s="165"/>
      <c r="F59" s="169" t="s">
        <v>398</v>
      </c>
      <c r="G59" s="965">
        <v>0</v>
      </c>
    </row>
    <row r="60" spans="1:7" ht="20.100000000000001" customHeight="1">
      <c r="A60" s="443" t="s">
        <v>399</v>
      </c>
      <c r="B60" s="165"/>
      <c r="C60" s="165"/>
      <c r="D60" s="165"/>
      <c r="E60" s="165"/>
      <c r="F60" s="178" t="s">
        <v>400</v>
      </c>
      <c r="G60" s="965">
        <v>679000</v>
      </c>
    </row>
    <row r="61" spans="1:7" ht="20.100000000000001" customHeight="1">
      <c r="A61" s="443" t="s">
        <v>401</v>
      </c>
      <c r="B61" s="165"/>
      <c r="C61" s="165"/>
      <c r="D61" s="165"/>
      <c r="E61" s="165"/>
      <c r="F61" s="169" t="s">
        <v>402</v>
      </c>
      <c r="G61" s="965">
        <v>275000</v>
      </c>
    </row>
    <row r="62" spans="1:7" ht="20.100000000000001" customHeight="1">
      <c r="A62" s="443" t="s">
        <v>403</v>
      </c>
      <c r="B62" s="165"/>
      <c r="C62" s="165"/>
      <c r="D62" s="165"/>
      <c r="E62" s="165"/>
      <c r="F62" s="177" t="s">
        <v>404</v>
      </c>
      <c r="G62" s="965">
        <v>0</v>
      </c>
    </row>
    <row r="63" spans="1:7" ht="20.100000000000001" customHeight="1">
      <c r="A63" s="443" t="s">
        <v>405</v>
      </c>
      <c r="B63" s="165"/>
      <c r="C63" s="165"/>
      <c r="D63" s="165"/>
      <c r="E63" s="165"/>
      <c r="F63" s="177" t="s">
        <v>406</v>
      </c>
      <c r="G63" s="965">
        <v>0</v>
      </c>
    </row>
    <row r="64" spans="1:7" ht="20.100000000000001" customHeight="1">
      <c r="A64" s="443"/>
      <c r="B64" s="165"/>
      <c r="C64" s="165"/>
      <c r="D64" s="165"/>
      <c r="E64" s="165"/>
      <c r="F64" s="169"/>
      <c r="G64" s="576"/>
    </row>
    <row r="65" spans="1:7" ht="20.100000000000001" customHeight="1">
      <c r="A65" s="444" t="s">
        <v>407</v>
      </c>
      <c r="B65" s="165"/>
      <c r="C65" s="165"/>
      <c r="D65" s="165"/>
      <c r="E65" s="165"/>
      <c r="F65" s="169"/>
      <c r="G65" s="1132">
        <f>SUM(G45:G63)</f>
        <v>22717992</v>
      </c>
    </row>
    <row r="66" spans="1:7" ht="20.100000000000001" customHeight="1">
      <c r="A66" s="443"/>
      <c r="B66" s="165"/>
      <c r="C66" s="165"/>
      <c r="D66" s="165"/>
      <c r="E66" s="165"/>
      <c r="F66" s="169"/>
      <c r="G66" s="173"/>
    </row>
    <row r="67" spans="1:7" ht="20.100000000000001" customHeight="1">
      <c r="A67" s="1083" t="s">
        <v>408</v>
      </c>
      <c r="B67" s="683"/>
      <c r="C67" s="683"/>
      <c r="D67" s="683"/>
      <c r="E67" s="683"/>
      <c r="F67" s="684"/>
      <c r="G67" s="577"/>
    </row>
    <row r="68" spans="1:7" ht="20.100000000000001" customHeight="1">
      <c r="A68" s="443"/>
      <c r="B68" s="165"/>
      <c r="C68" s="165"/>
      <c r="D68" s="165"/>
      <c r="E68" s="165"/>
      <c r="F68" s="169"/>
      <c r="G68" s="173"/>
    </row>
    <row r="69" spans="1:7" ht="20.100000000000001" customHeight="1">
      <c r="A69" s="443" t="s">
        <v>409</v>
      </c>
      <c r="B69" s="165"/>
      <c r="C69" s="165"/>
      <c r="D69" s="165"/>
      <c r="E69" s="165"/>
      <c r="F69" s="169" t="s">
        <v>410</v>
      </c>
      <c r="G69" s="965">
        <v>0</v>
      </c>
    </row>
    <row r="70" spans="1:7" ht="20.100000000000001" customHeight="1">
      <c r="A70" s="443" t="s">
        <v>411</v>
      </c>
      <c r="B70" s="165"/>
      <c r="C70" s="165"/>
      <c r="D70" s="165"/>
      <c r="E70" s="165"/>
      <c r="F70" s="169" t="s">
        <v>412</v>
      </c>
      <c r="G70" s="965">
        <v>0</v>
      </c>
    </row>
    <row r="71" spans="1:7" ht="20.100000000000001" customHeight="1">
      <c r="A71" s="443" t="s">
        <v>413</v>
      </c>
      <c r="B71" s="165"/>
      <c r="C71" s="165"/>
      <c r="D71" s="165"/>
      <c r="E71" s="165"/>
      <c r="F71" s="169" t="s">
        <v>414</v>
      </c>
      <c r="G71" s="965">
        <v>0</v>
      </c>
    </row>
    <row r="72" spans="1:7" ht="20.100000000000001" customHeight="1">
      <c r="A72" s="443"/>
      <c r="B72" s="165"/>
      <c r="C72" s="165"/>
      <c r="D72" s="165"/>
      <c r="E72" s="165"/>
      <c r="F72" s="169"/>
      <c r="G72" s="576"/>
    </row>
    <row r="73" spans="1:7" ht="20.100000000000001" customHeight="1">
      <c r="A73" s="444" t="s">
        <v>415</v>
      </c>
      <c r="B73" s="165"/>
      <c r="C73" s="165"/>
      <c r="D73" s="165"/>
      <c r="E73" s="165"/>
      <c r="F73" s="169"/>
      <c r="G73" s="199">
        <f>SUM(G69:G71)</f>
        <v>0</v>
      </c>
    </row>
    <row r="74" spans="1:7" ht="20.100000000000001" customHeight="1">
      <c r="A74" s="1133"/>
      <c r="B74" s="509"/>
      <c r="C74" s="509"/>
      <c r="D74" s="509"/>
      <c r="E74" s="509"/>
      <c r="F74" s="510"/>
      <c r="G74" s="578"/>
    </row>
    <row r="75" spans="1:7" ht="20.100000000000001" customHeight="1">
      <c r="A75" s="1083" t="s">
        <v>416</v>
      </c>
      <c r="B75" s="683"/>
      <c r="C75" s="683"/>
      <c r="D75" s="683"/>
      <c r="E75" s="683"/>
      <c r="F75" s="684"/>
      <c r="G75" s="1084"/>
    </row>
    <row r="76" spans="1:7" ht="20.100000000000001" customHeight="1">
      <c r="A76" s="443"/>
      <c r="B76" s="165"/>
      <c r="C76" s="165"/>
      <c r="D76" s="165"/>
      <c r="E76" s="165"/>
      <c r="F76" s="169"/>
      <c r="G76" s="179"/>
    </row>
    <row r="77" spans="1:7" ht="20.100000000000001" customHeight="1">
      <c r="A77" s="443" t="s">
        <v>417</v>
      </c>
      <c r="B77" s="165"/>
      <c r="C77" s="165"/>
      <c r="D77" s="165"/>
      <c r="E77" s="165"/>
      <c r="F77" s="169" t="s">
        <v>418</v>
      </c>
      <c r="G77" s="966">
        <f>'CHECK SHEET'!D84</f>
        <v>45068196</v>
      </c>
    </row>
    <row r="78" spans="1:7" ht="20.100000000000001" customHeight="1">
      <c r="A78" s="443" t="s">
        <v>419</v>
      </c>
      <c r="B78" s="165"/>
      <c r="C78" s="165"/>
      <c r="D78" s="165"/>
      <c r="E78" s="165"/>
      <c r="F78" s="168">
        <v>42130</v>
      </c>
      <c r="G78" s="967">
        <v>1168387</v>
      </c>
    </row>
    <row r="79" spans="1:7" ht="20.100000000000001" customHeight="1">
      <c r="A79" s="445" t="s">
        <v>420</v>
      </c>
      <c r="B79" s="446"/>
      <c r="C79" s="446"/>
      <c r="D79" s="446"/>
      <c r="E79" s="446"/>
      <c r="F79" s="180" t="s">
        <v>421</v>
      </c>
      <c r="G79" s="965">
        <v>350043</v>
      </c>
    </row>
    <row r="80" spans="1:7" ht="20.100000000000001" customHeight="1">
      <c r="A80" s="443" t="s">
        <v>422</v>
      </c>
      <c r="B80" s="165"/>
      <c r="C80" s="165"/>
      <c r="D80" s="165"/>
      <c r="E80" s="165"/>
      <c r="F80" s="169" t="s">
        <v>423</v>
      </c>
      <c r="G80" s="967">
        <v>4125</v>
      </c>
    </row>
    <row r="81" spans="1:10" ht="20.100000000000001" customHeight="1">
      <c r="A81" s="443" t="s">
        <v>424</v>
      </c>
      <c r="B81" s="165"/>
      <c r="C81" s="165"/>
      <c r="D81" s="165"/>
      <c r="E81" s="165"/>
      <c r="F81" s="169" t="s">
        <v>425</v>
      </c>
      <c r="G81" s="967">
        <v>750000</v>
      </c>
    </row>
    <row r="82" spans="1:10" ht="20.100000000000001" customHeight="1">
      <c r="A82" s="443" t="s">
        <v>426</v>
      </c>
      <c r="B82" s="165"/>
      <c r="C82" s="165"/>
      <c r="D82" s="165"/>
      <c r="E82" s="165"/>
      <c r="F82" s="169" t="s">
        <v>427</v>
      </c>
      <c r="G82" s="966">
        <f>'CHECK SHEET'!D86</f>
        <v>5998631</v>
      </c>
    </row>
    <row r="83" spans="1:10" ht="20.100000000000001" customHeight="1">
      <c r="A83" s="447" t="s">
        <v>428</v>
      </c>
      <c r="B83" s="448"/>
      <c r="C83" s="448"/>
      <c r="D83" s="448"/>
      <c r="E83" s="448"/>
      <c r="F83" s="179" t="s">
        <v>429</v>
      </c>
      <c r="G83" s="967">
        <v>0</v>
      </c>
    </row>
    <row r="84" spans="1:10" ht="20.100000000000001" customHeight="1">
      <c r="A84" s="443" t="s">
        <v>430</v>
      </c>
      <c r="B84" s="165"/>
      <c r="C84" s="165"/>
      <c r="D84" s="165"/>
      <c r="E84" s="165"/>
      <c r="F84" s="169" t="s">
        <v>431</v>
      </c>
      <c r="G84" s="967">
        <v>0</v>
      </c>
    </row>
    <row r="85" spans="1:10" ht="20.100000000000001" customHeight="1">
      <c r="A85" s="443"/>
      <c r="B85" s="165"/>
      <c r="C85" s="165"/>
      <c r="D85" s="165"/>
      <c r="E85" s="165"/>
      <c r="F85" s="169"/>
      <c r="G85" s="579"/>
    </row>
    <row r="86" spans="1:10" ht="20.100000000000001" customHeight="1">
      <c r="A86" s="444" t="s">
        <v>432</v>
      </c>
      <c r="B86" s="165"/>
      <c r="C86" s="165"/>
      <c r="D86" s="165"/>
      <c r="E86" s="165"/>
      <c r="F86" s="169"/>
      <c r="G86" s="200">
        <f>SUM(G77:G84)</f>
        <v>53339382</v>
      </c>
    </row>
    <row r="87" spans="1:10" ht="20.100000000000001" customHeight="1">
      <c r="A87" s="1133"/>
      <c r="B87" s="509"/>
      <c r="C87" s="509"/>
      <c r="D87" s="509"/>
      <c r="E87" s="509"/>
      <c r="F87" s="510"/>
      <c r="G87" s="578"/>
    </row>
    <row r="88" spans="1:10" ht="20.100000000000001" customHeight="1">
      <c r="A88" s="685" t="s">
        <v>433</v>
      </c>
      <c r="B88" s="686"/>
      <c r="C88" s="686"/>
      <c r="D88" s="686"/>
      <c r="E88" s="686"/>
      <c r="F88" s="687"/>
      <c r="G88" s="1084"/>
    </row>
    <row r="89" spans="1:10" ht="20.100000000000001" customHeight="1">
      <c r="A89" s="443"/>
      <c r="B89" s="165"/>
      <c r="C89" s="165"/>
      <c r="D89" s="165"/>
      <c r="E89" s="165"/>
      <c r="F89" s="169"/>
      <c r="G89" s="179"/>
    </row>
    <row r="90" spans="1:10" ht="20.100000000000001" customHeight="1">
      <c r="A90" s="443" t="s">
        <v>434</v>
      </c>
      <c r="B90" s="165"/>
      <c r="C90" s="165"/>
      <c r="D90" s="165"/>
      <c r="E90" s="165"/>
      <c r="F90" s="169" t="s">
        <v>435</v>
      </c>
      <c r="G90" s="399">
        <v>0</v>
      </c>
    </row>
    <row r="91" spans="1:10" ht="20.100000000000001" customHeight="1">
      <c r="A91" s="443" t="s">
        <v>436</v>
      </c>
      <c r="B91" s="165"/>
      <c r="C91" s="165"/>
      <c r="D91" s="165"/>
      <c r="E91" s="165"/>
      <c r="F91" s="817">
        <v>43518</v>
      </c>
      <c r="G91" s="400">
        <v>0</v>
      </c>
      <c r="J91" s="181"/>
    </row>
    <row r="92" spans="1:10" ht="20.100000000000001" customHeight="1">
      <c r="A92" s="443" t="s">
        <v>437</v>
      </c>
      <c r="B92" s="165"/>
      <c r="C92" s="165"/>
      <c r="D92" s="165"/>
      <c r="E92" s="165"/>
      <c r="F92" s="817">
        <v>43519</v>
      </c>
      <c r="G92" s="400">
        <v>0</v>
      </c>
    </row>
    <row r="93" spans="1:10" ht="20.100000000000001" customHeight="1">
      <c r="A93" s="443" t="s">
        <v>438</v>
      </c>
      <c r="B93" s="165"/>
      <c r="C93" s="165"/>
      <c r="D93" s="165"/>
      <c r="E93" s="165"/>
      <c r="F93" s="184">
        <v>43521</v>
      </c>
      <c r="G93" s="400">
        <v>0</v>
      </c>
    </row>
    <row r="94" spans="1:10" ht="20.100000000000001" customHeight="1">
      <c r="A94" s="443" t="s">
        <v>439</v>
      </c>
      <c r="B94" s="165"/>
      <c r="C94" s="165"/>
      <c r="D94" s="165"/>
      <c r="E94" s="165"/>
      <c r="F94" s="184">
        <v>43526</v>
      </c>
      <c r="G94" s="400">
        <v>0</v>
      </c>
    </row>
    <row r="95" spans="1:10" ht="20.100000000000001" customHeight="1">
      <c r="A95" s="443" t="s">
        <v>440</v>
      </c>
      <c r="B95" s="165"/>
      <c r="C95" s="165"/>
      <c r="D95" s="165"/>
      <c r="E95" s="165"/>
      <c r="F95" s="169" t="s">
        <v>441</v>
      </c>
      <c r="G95" s="958">
        <v>17000</v>
      </c>
    </row>
    <row r="96" spans="1:10" ht="20.100000000000001" customHeight="1">
      <c r="A96" s="532"/>
      <c r="B96" s="511"/>
      <c r="C96" s="511"/>
      <c r="D96" s="511"/>
      <c r="E96" s="511"/>
      <c r="F96" s="527"/>
      <c r="G96" s="579"/>
    </row>
    <row r="97" spans="1:7" ht="20.100000000000001" customHeight="1">
      <c r="A97" s="444" t="s">
        <v>442</v>
      </c>
      <c r="B97" s="165"/>
      <c r="C97" s="165"/>
      <c r="D97" s="165"/>
      <c r="E97" s="165"/>
      <c r="F97" s="182"/>
      <c r="G97" s="1134">
        <f>SUM(G90:G95)</f>
        <v>17000</v>
      </c>
    </row>
    <row r="98" spans="1:7" ht="20.100000000000001" customHeight="1">
      <c r="A98" s="443"/>
      <c r="B98" s="165"/>
      <c r="C98" s="165"/>
      <c r="D98" s="165"/>
      <c r="E98" s="165"/>
      <c r="F98" s="169"/>
      <c r="G98" s="183"/>
    </row>
    <row r="99" spans="1:7" ht="20.100000000000001" customHeight="1">
      <c r="A99" s="688" t="s">
        <v>443</v>
      </c>
      <c r="B99" s="689"/>
      <c r="C99" s="689"/>
      <c r="D99" s="689"/>
      <c r="E99" s="689"/>
      <c r="F99" s="690"/>
      <c r="G99" s="580"/>
    </row>
    <row r="100" spans="1:7" ht="20.100000000000001" customHeight="1">
      <c r="A100" s="443"/>
      <c r="B100" s="165"/>
      <c r="C100" s="165"/>
      <c r="D100" s="165"/>
      <c r="E100" s="165"/>
      <c r="F100" s="169"/>
      <c r="G100" s="183"/>
    </row>
    <row r="101" spans="1:7" ht="20.100000000000001" customHeight="1">
      <c r="A101" s="443" t="s">
        <v>444</v>
      </c>
      <c r="B101" s="165"/>
      <c r="C101" s="165"/>
      <c r="D101" s="165"/>
      <c r="E101" s="165"/>
      <c r="F101" s="169" t="s">
        <v>445</v>
      </c>
      <c r="G101" s="399"/>
    </row>
    <row r="102" spans="1:7" ht="20.100000000000001" customHeight="1">
      <c r="A102" s="443" t="s">
        <v>446</v>
      </c>
      <c r="B102" s="165"/>
      <c r="C102" s="165"/>
      <c r="D102" s="165"/>
      <c r="E102" s="165"/>
      <c r="F102" s="169" t="s">
        <v>447</v>
      </c>
      <c r="G102" s="399">
        <v>0</v>
      </c>
    </row>
    <row r="103" spans="1:7" ht="20.100000000000001" customHeight="1">
      <c r="A103" s="443" t="s">
        <v>448</v>
      </c>
      <c r="B103" s="165"/>
      <c r="C103" s="165"/>
      <c r="D103" s="165"/>
      <c r="E103" s="165"/>
      <c r="F103" s="184">
        <v>44400</v>
      </c>
      <c r="G103" s="400">
        <v>39500</v>
      </c>
    </row>
    <row r="104" spans="1:7" ht="20.100000000000001" customHeight="1">
      <c r="A104" s="443" t="s">
        <v>449</v>
      </c>
      <c r="B104" s="165"/>
      <c r="C104" s="165"/>
      <c r="D104" s="165"/>
      <c r="E104" s="165"/>
      <c r="F104" s="169" t="s">
        <v>450</v>
      </c>
      <c r="G104" s="399">
        <v>660000</v>
      </c>
    </row>
    <row r="105" spans="1:7" ht="20.100000000000001" customHeight="1">
      <c r="A105" s="443"/>
      <c r="B105" s="165"/>
      <c r="C105" s="165"/>
      <c r="D105" s="165"/>
      <c r="E105" s="165"/>
      <c r="F105" s="169"/>
      <c r="G105" s="581"/>
    </row>
    <row r="106" spans="1:7" ht="20.100000000000001" customHeight="1">
      <c r="A106" s="444" t="s">
        <v>451</v>
      </c>
      <c r="B106" s="165"/>
      <c r="C106" s="165"/>
      <c r="D106" s="165"/>
      <c r="E106" s="165"/>
      <c r="F106" s="169"/>
      <c r="G106" s="1134">
        <f>SUM(G101:G104)</f>
        <v>699500</v>
      </c>
    </row>
    <row r="107" spans="1:7" ht="20.100000000000001" customHeight="1">
      <c r="A107" s="443"/>
      <c r="B107" s="165"/>
      <c r="C107" s="165"/>
      <c r="D107" s="165"/>
      <c r="E107" s="165"/>
      <c r="F107" s="169"/>
      <c r="G107" s="183"/>
    </row>
    <row r="108" spans="1:7" ht="20.100000000000001" customHeight="1">
      <c r="A108" s="1083" t="s">
        <v>452</v>
      </c>
      <c r="B108" s="683"/>
      <c r="C108" s="683"/>
      <c r="D108" s="683"/>
      <c r="E108" s="683"/>
      <c r="F108" s="684"/>
      <c r="G108" s="582"/>
    </row>
    <row r="109" spans="1:7" ht="20.100000000000001" customHeight="1">
      <c r="A109" s="443"/>
      <c r="B109" s="165"/>
      <c r="C109" s="165"/>
      <c r="D109" s="165"/>
      <c r="E109" s="165"/>
      <c r="F109" s="169"/>
      <c r="G109" s="183"/>
    </row>
    <row r="110" spans="1:7" ht="20.100000000000001" customHeight="1">
      <c r="A110" s="443" t="s">
        <v>453</v>
      </c>
      <c r="B110" s="165"/>
      <c r="C110" s="165"/>
      <c r="D110" s="165"/>
      <c r="E110" s="165"/>
      <c r="F110" s="169" t="s">
        <v>454</v>
      </c>
      <c r="G110" s="399">
        <v>0</v>
      </c>
    </row>
    <row r="111" spans="1:7" ht="20.100000000000001" customHeight="1">
      <c r="A111" s="443" t="s">
        <v>455</v>
      </c>
      <c r="B111" s="165"/>
      <c r="C111" s="165"/>
      <c r="D111" s="165"/>
      <c r="E111" s="165"/>
      <c r="F111" s="169" t="s">
        <v>456</v>
      </c>
      <c r="G111" s="399">
        <v>0</v>
      </c>
    </row>
    <row r="112" spans="1:7" ht="20.100000000000001" customHeight="1">
      <c r="A112" s="443" t="s">
        <v>457</v>
      </c>
      <c r="B112" s="165"/>
      <c r="C112" s="165"/>
      <c r="D112" s="165"/>
      <c r="E112" s="165"/>
      <c r="F112" s="169" t="s">
        <v>458</v>
      </c>
      <c r="G112" s="399">
        <v>0</v>
      </c>
    </row>
    <row r="113" spans="1:7" ht="20.100000000000001" customHeight="1">
      <c r="A113" s="443" t="s">
        <v>459</v>
      </c>
      <c r="B113" s="165"/>
      <c r="C113" s="165"/>
      <c r="D113" s="165"/>
      <c r="E113" s="165"/>
      <c r="F113" s="169" t="s">
        <v>460</v>
      </c>
      <c r="G113" s="399">
        <v>0</v>
      </c>
    </row>
    <row r="114" spans="1:7" ht="20.100000000000001" customHeight="1">
      <c r="A114" s="443" t="s">
        <v>461</v>
      </c>
      <c r="B114" s="165"/>
      <c r="C114" s="165"/>
      <c r="D114" s="165"/>
      <c r="E114" s="165"/>
      <c r="F114" s="169" t="s">
        <v>462</v>
      </c>
      <c r="G114" s="1135">
        <v>0</v>
      </c>
    </row>
    <row r="115" spans="1:7" ht="20.100000000000001" customHeight="1">
      <c r="A115" s="443"/>
      <c r="B115" s="165"/>
      <c r="C115" s="165"/>
      <c r="D115" s="165"/>
      <c r="E115" s="165"/>
      <c r="F115" s="169"/>
      <c r="G115" s="581"/>
    </row>
    <row r="116" spans="1:7" ht="20.100000000000001" customHeight="1">
      <c r="A116" s="1136" t="s">
        <v>463</v>
      </c>
      <c r="B116" s="1137"/>
      <c r="C116" s="1137"/>
      <c r="D116" s="1137"/>
      <c r="E116" s="1137"/>
      <c r="F116" s="1138"/>
      <c r="G116" s="1134">
        <f>SUM(G110:G114)</f>
        <v>0</v>
      </c>
    </row>
    <row r="117" spans="1:7" ht="20.100000000000001" customHeight="1">
      <c r="A117" s="443"/>
      <c r="B117" s="165"/>
      <c r="C117" s="165"/>
      <c r="D117" s="165"/>
      <c r="E117" s="165"/>
      <c r="F117" s="449"/>
      <c r="G117" s="450"/>
    </row>
    <row r="118" spans="1:7" ht="20.100000000000001" customHeight="1">
      <c r="A118" s="1139" t="s">
        <v>464</v>
      </c>
      <c r="B118" s="512"/>
      <c r="C118" s="512"/>
      <c r="D118" s="512"/>
      <c r="E118" s="512"/>
      <c r="F118" s="513" t="s">
        <v>465</v>
      </c>
      <c r="G118" s="1140">
        <v>0</v>
      </c>
    </row>
    <row r="119" spans="1:7" ht="20.100000000000001" customHeight="1">
      <c r="A119" s="451"/>
      <c r="F119" s="184"/>
      <c r="G119" s="185"/>
    </row>
    <row r="120" spans="1:7" ht="20.100000000000001" customHeight="1">
      <c r="A120" s="444" t="s">
        <v>466</v>
      </c>
      <c r="C120" s="165"/>
      <c r="D120" s="165"/>
      <c r="F120" s="184"/>
      <c r="G120" s="1134">
        <f>G118</f>
        <v>0</v>
      </c>
    </row>
    <row r="121" spans="1:7" ht="20.100000000000001" customHeight="1">
      <c r="A121" s="451"/>
      <c r="F121" s="184"/>
      <c r="G121" s="183"/>
    </row>
    <row r="122" spans="1:7" ht="20.100000000000001" customHeight="1">
      <c r="A122" s="688" t="s">
        <v>467</v>
      </c>
      <c r="B122" s="689"/>
      <c r="C122" s="689"/>
      <c r="D122" s="689"/>
      <c r="E122" s="689"/>
      <c r="F122" s="690"/>
      <c r="G122" s="580"/>
    </row>
    <row r="123" spans="1:7" ht="20.100000000000001" customHeight="1">
      <c r="A123" s="443"/>
      <c r="B123" s="165"/>
      <c r="C123" s="165"/>
      <c r="D123" s="165"/>
      <c r="E123" s="165"/>
      <c r="F123" s="169"/>
      <c r="G123" s="183"/>
    </row>
    <row r="124" spans="1:7" ht="20.100000000000001" customHeight="1">
      <c r="A124" s="443" t="s">
        <v>468</v>
      </c>
      <c r="B124" s="165"/>
      <c r="C124" s="165"/>
      <c r="D124" s="165"/>
      <c r="E124" s="165"/>
      <c r="F124" s="169" t="s">
        <v>469</v>
      </c>
      <c r="G124" s="399">
        <v>500000</v>
      </c>
    </row>
    <row r="125" spans="1:7" ht="20.100000000000001" customHeight="1">
      <c r="A125" s="443" t="s">
        <v>470</v>
      </c>
      <c r="B125" s="165"/>
      <c r="C125" s="165"/>
      <c r="D125" s="165"/>
      <c r="E125" s="165"/>
      <c r="F125" s="169" t="s">
        <v>471</v>
      </c>
      <c r="G125" s="399">
        <v>0</v>
      </c>
    </row>
    <row r="126" spans="1:7" ht="20.100000000000001" customHeight="1">
      <c r="A126" s="443" t="s">
        <v>472</v>
      </c>
      <c r="B126" s="165"/>
      <c r="C126" s="165"/>
      <c r="D126" s="165"/>
      <c r="E126" s="165"/>
      <c r="F126" s="169" t="s">
        <v>473</v>
      </c>
      <c r="G126" s="399">
        <v>0</v>
      </c>
    </row>
    <row r="127" spans="1:7" ht="20.100000000000001" customHeight="1">
      <c r="A127" s="443" t="s">
        <v>474</v>
      </c>
      <c r="B127" s="165"/>
      <c r="C127" s="165"/>
      <c r="D127" s="165"/>
      <c r="E127" s="165"/>
      <c r="F127" s="169" t="s">
        <v>475</v>
      </c>
      <c r="G127" s="399">
        <v>60000</v>
      </c>
    </row>
    <row r="128" spans="1:7" ht="20.100000000000001" customHeight="1">
      <c r="A128" s="443"/>
      <c r="B128" s="165"/>
      <c r="C128" s="165"/>
      <c r="D128" s="165"/>
      <c r="E128" s="165"/>
      <c r="F128" s="169"/>
      <c r="G128" s="581"/>
    </row>
    <row r="129" spans="1:7" ht="20.100000000000001" customHeight="1">
      <c r="A129" s="444" t="s">
        <v>476</v>
      </c>
      <c r="B129" s="165"/>
      <c r="C129" s="165"/>
      <c r="D129" s="165"/>
      <c r="E129" s="165"/>
      <c r="F129" s="169"/>
      <c r="G129" s="1134">
        <f>SUM(G124:G127)</f>
        <v>560000</v>
      </c>
    </row>
    <row r="130" spans="1:7" ht="20.100000000000001" customHeight="1">
      <c r="A130" s="443"/>
      <c r="B130" s="165"/>
      <c r="C130" s="165"/>
      <c r="D130" s="165"/>
      <c r="E130" s="165"/>
      <c r="F130" s="169"/>
      <c r="G130" s="183"/>
    </row>
    <row r="131" spans="1:7" ht="20.100000000000001" customHeight="1">
      <c r="A131" s="1083" t="s">
        <v>477</v>
      </c>
      <c r="B131" s="683"/>
      <c r="C131" s="683"/>
      <c r="D131" s="683"/>
      <c r="E131" s="683"/>
      <c r="F131" s="684"/>
      <c r="G131" s="582"/>
    </row>
    <row r="132" spans="1:7" ht="20.100000000000001" customHeight="1">
      <c r="A132" s="443"/>
      <c r="B132" s="165"/>
      <c r="C132" s="165"/>
      <c r="D132" s="165"/>
      <c r="E132" s="165"/>
      <c r="F132" s="169"/>
      <c r="G132" s="183"/>
    </row>
    <row r="133" spans="1:7" ht="20.100000000000001" customHeight="1">
      <c r="A133" s="443" t="s">
        <v>478</v>
      </c>
      <c r="B133" s="165"/>
      <c r="C133" s="165"/>
      <c r="D133" s="452"/>
      <c r="E133" s="176"/>
      <c r="F133" s="893" t="s">
        <v>479</v>
      </c>
      <c r="G133" s="399">
        <v>0</v>
      </c>
    </row>
    <row r="134" spans="1:7" ht="20.100000000000001" customHeight="1">
      <c r="A134" s="443" t="s">
        <v>480</v>
      </c>
      <c r="B134" s="165"/>
      <c r="C134" s="165"/>
      <c r="D134" s="452"/>
      <c r="E134" s="176"/>
      <c r="F134" s="940">
        <v>49200</v>
      </c>
      <c r="G134" s="399">
        <v>0</v>
      </c>
    </row>
    <row r="135" spans="1:7" ht="20.100000000000001" customHeight="1">
      <c r="A135" s="443" t="s">
        <v>481</v>
      </c>
      <c r="B135" s="165"/>
      <c r="C135" s="165"/>
      <c r="D135" s="165"/>
      <c r="E135" s="165"/>
      <c r="F135" s="858" t="s">
        <v>482</v>
      </c>
      <c r="G135" s="399">
        <v>0</v>
      </c>
    </row>
    <row r="136" spans="1:7" ht="20.100000000000001" customHeight="1">
      <c r="A136" s="443" t="s">
        <v>483</v>
      </c>
      <c r="B136" s="165"/>
      <c r="C136" s="165"/>
      <c r="D136" s="165"/>
      <c r="E136" s="165"/>
      <c r="F136" s="168">
        <v>49520</v>
      </c>
      <c r="G136" s="399">
        <v>0</v>
      </c>
    </row>
    <row r="137" spans="1:7" ht="20.100000000000001" customHeight="1">
      <c r="A137" s="832" t="s">
        <v>484</v>
      </c>
      <c r="B137" s="165"/>
      <c r="C137" s="165"/>
      <c r="D137" s="165"/>
      <c r="E137" s="165"/>
      <c r="F137" s="184">
        <v>49521</v>
      </c>
      <c r="G137" s="399">
        <v>0</v>
      </c>
    </row>
    <row r="138" spans="1:7" ht="20.100000000000001" customHeight="1">
      <c r="A138" s="443" t="s">
        <v>485</v>
      </c>
      <c r="B138" s="165"/>
      <c r="C138" s="165"/>
      <c r="D138" s="165"/>
      <c r="E138" s="165"/>
      <c r="F138" s="169" t="s">
        <v>486</v>
      </c>
      <c r="G138" s="399">
        <v>0</v>
      </c>
    </row>
    <row r="139" spans="1:7" ht="20.100000000000001" customHeight="1">
      <c r="A139" s="443" t="s">
        <v>487</v>
      </c>
      <c r="B139" s="165"/>
      <c r="C139" s="165"/>
      <c r="D139" s="165"/>
      <c r="E139" s="165"/>
      <c r="F139" s="169" t="s">
        <v>488</v>
      </c>
      <c r="G139" s="399">
        <v>0</v>
      </c>
    </row>
    <row r="140" spans="1:7" ht="20.100000000000001" customHeight="1">
      <c r="A140" s="443"/>
      <c r="B140" s="165"/>
      <c r="C140" s="165"/>
      <c r="D140" s="165"/>
      <c r="E140" s="165"/>
      <c r="F140" s="169"/>
      <c r="G140" s="581"/>
    </row>
    <row r="141" spans="1:7" ht="20.100000000000001" customHeight="1">
      <c r="A141" s="444" t="s">
        <v>489</v>
      </c>
      <c r="B141" s="165"/>
      <c r="C141" s="165"/>
      <c r="D141" s="165"/>
      <c r="E141" s="165"/>
      <c r="F141" s="169"/>
      <c r="G141" s="1134">
        <f>SUM(G133:G139)</f>
        <v>0</v>
      </c>
    </row>
    <row r="142" spans="1:7" ht="20.100000000000001" customHeight="1">
      <c r="A142" s="443"/>
      <c r="B142" s="165"/>
      <c r="C142" s="165"/>
      <c r="D142" s="165"/>
      <c r="E142" s="165"/>
      <c r="F142" s="169"/>
      <c r="G142" s="183"/>
    </row>
    <row r="143" spans="1:7" ht="20.100000000000001" customHeight="1" thickBot="1">
      <c r="A143" s="465" t="s">
        <v>490</v>
      </c>
      <c r="B143" s="466"/>
      <c r="C143" s="466"/>
      <c r="D143" s="466"/>
      <c r="E143" s="466"/>
      <c r="F143" s="467"/>
      <c r="G143" s="469">
        <f>G65+G73+G86+G97+G106+G116+G120+G129+G141</f>
        <v>77333874</v>
      </c>
    </row>
    <row r="144" spans="1:7" ht="20.100000000000001" customHeight="1" thickTop="1">
      <c r="A144" s="1133"/>
      <c r="B144" s="509"/>
      <c r="C144" s="509"/>
      <c r="D144" s="509"/>
      <c r="E144" s="509"/>
      <c r="F144" s="544"/>
      <c r="G144" s="545"/>
    </row>
    <row r="145" spans="1:7" ht="20.100000000000001" customHeight="1">
      <c r="A145" s="1083" t="s">
        <v>491</v>
      </c>
      <c r="B145" s="683"/>
      <c r="C145" s="683"/>
      <c r="D145" s="683"/>
      <c r="E145" s="683"/>
      <c r="F145" s="684"/>
      <c r="G145" s="1085"/>
    </row>
    <row r="146" spans="1:7" ht="20.100000000000001" customHeight="1">
      <c r="A146" s="443"/>
      <c r="B146" s="165"/>
      <c r="C146" s="165"/>
      <c r="D146" s="165"/>
      <c r="E146" s="165"/>
      <c r="F146" s="169"/>
      <c r="G146" s="186"/>
    </row>
    <row r="147" spans="1:7" ht="20.100000000000001" customHeight="1">
      <c r="A147" s="443" t="s">
        <v>492</v>
      </c>
      <c r="B147" s="165"/>
      <c r="C147" s="165"/>
      <c r="D147" s="165"/>
      <c r="E147" s="165"/>
      <c r="F147" s="169" t="s">
        <v>493</v>
      </c>
      <c r="G147" s="401">
        <v>1680177</v>
      </c>
    </row>
    <row r="148" spans="1:7" ht="20.100000000000001" customHeight="1">
      <c r="A148" s="443" t="s">
        <v>494</v>
      </c>
      <c r="F148" s="169" t="s">
        <v>495</v>
      </c>
      <c r="G148" s="401">
        <v>782417</v>
      </c>
    </row>
    <row r="149" spans="1:7" ht="20.100000000000001" customHeight="1">
      <c r="A149" s="443" t="s">
        <v>496</v>
      </c>
      <c r="F149" s="169" t="s">
        <v>497</v>
      </c>
      <c r="G149" s="401">
        <v>2568870</v>
      </c>
    </row>
    <row r="150" spans="1:7" ht="20.100000000000001" customHeight="1">
      <c r="A150" s="443" t="s">
        <v>498</v>
      </c>
      <c r="F150" s="169" t="s">
        <v>499</v>
      </c>
      <c r="G150" s="401">
        <v>0</v>
      </c>
    </row>
    <row r="151" spans="1:7" ht="20.100000000000001" customHeight="1">
      <c r="A151" s="443" t="s">
        <v>500</v>
      </c>
      <c r="F151" s="169" t="s">
        <v>501</v>
      </c>
      <c r="G151" s="401">
        <v>0</v>
      </c>
    </row>
    <row r="152" spans="1:7" ht="20.100000000000001" customHeight="1">
      <c r="A152" s="443" t="s">
        <v>502</v>
      </c>
      <c r="B152" s="165"/>
      <c r="C152" s="165"/>
      <c r="D152" s="165"/>
      <c r="E152" s="165"/>
      <c r="F152" s="169" t="s">
        <v>503</v>
      </c>
      <c r="G152" s="401">
        <v>11279151</v>
      </c>
    </row>
    <row r="153" spans="1:7" ht="20.100000000000001" customHeight="1">
      <c r="A153" s="443" t="s">
        <v>504</v>
      </c>
      <c r="B153" s="165"/>
      <c r="C153" s="165"/>
      <c r="D153" s="165"/>
      <c r="E153" s="165"/>
      <c r="F153" s="169" t="s">
        <v>505</v>
      </c>
      <c r="G153" s="401">
        <v>1907743</v>
      </c>
    </row>
    <row r="154" spans="1:7" ht="20.100000000000001" customHeight="1">
      <c r="A154" s="443" t="s">
        <v>506</v>
      </c>
      <c r="B154" s="165"/>
      <c r="C154" s="165"/>
      <c r="D154" s="165"/>
      <c r="E154" s="165"/>
      <c r="F154" s="169" t="s">
        <v>507</v>
      </c>
      <c r="G154" s="401">
        <v>6726</v>
      </c>
    </row>
    <row r="155" spans="1:7" ht="20.100000000000001" customHeight="1">
      <c r="A155" s="443" t="s">
        <v>508</v>
      </c>
      <c r="B155" s="165"/>
      <c r="C155" s="165"/>
      <c r="D155" s="165"/>
      <c r="E155" s="165"/>
      <c r="F155" s="169" t="s">
        <v>509</v>
      </c>
      <c r="G155" s="401">
        <v>0</v>
      </c>
    </row>
    <row r="156" spans="1:7" ht="20.100000000000001" customHeight="1">
      <c r="A156" s="443" t="s">
        <v>510</v>
      </c>
      <c r="B156" s="165"/>
      <c r="C156" s="165"/>
      <c r="D156" s="165"/>
      <c r="E156" s="165"/>
      <c r="F156" s="169" t="s">
        <v>511</v>
      </c>
      <c r="G156" s="401">
        <v>0</v>
      </c>
    </row>
    <row r="157" spans="1:7" ht="20.100000000000001" customHeight="1">
      <c r="A157" s="443" t="s">
        <v>512</v>
      </c>
      <c r="B157" s="165"/>
      <c r="C157" s="165"/>
      <c r="D157" s="165"/>
      <c r="E157" s="165"/>
      <c r="F157" s="168">
        <v>52500</v>
      </c>
      <c r="G157" s="401">
        <v>0</v>
      </c>
    </row>
    <row r="158" spans="1:7" ht="20.100000000000001" customHeight="1">
      <c r="A158" s="443" t="s">
        <v>513</v>
      </c>
      <c r="B158" s="165"/>
      <c r="C158" s="165"/>
      <c r="D158" s="165"/>
      <c r="E158" s="165"/>
      <c r="F158" s="169" t="s">
        <v>514</v>
      </c>
      <c r="G158" s="401">
        <v>0</v>
      </c>
    </row>
    <row r="159" spans="1:7" ht="20.100000000000001" customHeight="1">
      <c r="A159" s="443" t="s">
        <v>515</v>
      </c>
      <c r="B159" s="165"/>
      <c r="C159" s="165"/>
      <c r="D159" s="165"/>
      <c r="E159" s="165"/>
      <c r="F159" s="169" t="s">
        <v>516</v>
      </c>
      <c r="G159" s="401">
        <v>0</v>
      </c>
    </row>
    <row r="160" spans="1:7" ht="20.100000000000001" customHeight="1">
      <c r="A160" s="443" t="s">
        <v>517</v>
      </c>
      <c r="B160" s="165"/>
      <c r="C160" s="165"/>
      <c r="D160" s="165"/>
      <c r="E160" s="165"/>
      <c r="F160" s="169" t="s">
        <v>518</v>
      </c>
      <c r="G160" s="401">
        <v>0</v>
      </c>
    </row>
    <row r="161" spans="1:7" ht="20.100000000000001" customHeight="1">
      <c r="A161" s="443" t="s">
        <v>519</v>
      </c>
      <c r="B161" s="165"/>
      <c r="C161" s="165"/>
      <c r="D161" s="165"/>
      <c r="E161" s="165"/>
      <c r="F161" s="169" t="s">
        <v>520</v>
      </c>
      <c r="G161" s="401">
        <v>0</v>
      </c>
    </row>
    <row r="162" spans="1:7" ht="20.100000000000001" customHeight="1">
      <c r="A162" s="443" t="s">
        <v>521</v>
      </c>
      <c r="B162" s="165"/>
      <c r="C162" s="165"/>
      <c r="D162" s="165"/>
      <c r="E162" s="165"/>
      <c r="F162" s="169" t="s">
        <v>522</v>
      </c>
      <c r="G162" s="401">
        <v>10945363</v>
      </c>
    </row>
    <row r="163" spans="1:7" ht="20.100000000000001" customHeight="1">
      <c r="A163" s="443" t="s">
        <v>523</v>
      </c>
      <c r="B163" s="165"/>
      <c r="C163" s="165"/>
      <c r="D163" s="165"/>
      <c r="E163" s="165"/>
      <c r="F163" s="169" t="s">
        <v>524</v>
      </c>
      <c r="G163" s="401">
        <v>99234</v>
      </c>
    </row>
    <row r="164" spans="1:7" ht="20.100000000000001" customHeight="1">
      <c r="A164" s="443" t="s">
        <v>525</v>
      </c>
      <c r="B164" s="165"/>
      <c r="C164" s="165"/>
      <c r="D164" s="165"/>
      <c r="E164" s="165"/>
      <c r="F164" s="169" t="s">
        <v>526</v>
      </c>
      <c r="G164" s="401">
        <v>0</v>
      </c>
    </row>
    <row r="165" spans="1:7" ht="20.100000000000001" customHeight="1">
      <c r="A165" s="443" t="s">
        <v>527</v>
      </c>
      <c r="B165" s="165"/>
      <c r="C165" s="165"/>
      <c r="D165" s="165"/>
      <c r="E165" s="165"/>
      <c r="F165" s="169" t="s">
        <v>528</v>
      </c>
      <c r="G165" s="401">
        <v>0</v>
      </c>
    </row>
    <row r="166" spans="1:7" ht="20.100000000000001" customHeight="1">
      <c r="A166" s="443" t="s">
        <v>529</v>
      </c>
      <c r="B166" s="165"/>
      <c r="C166" s="165"/>
      <c r="D166" s="165"/>
      <c r="E166" s="165"/>
      <c r="F166" s="169" t="s">
        <v>530</v>
      </c>
      <c r="G166" s="401">
        <v>22724</v>
      </c>
    </row>
    <row r="167" spans="1:7" ht="20.100000000000001" customHeight="1">
      <c r="A167" s="443" t="s">
        <v>531</v>
      </c>
      <c r="B167" s="165"/>
      <c r="C167" s="165"/>
      <c r="D167" s="165"/>
      <c r="E167" s="165"/>
      <c r="F167" s="169" t="s">
        <v>532</v>
      </c>
      <c r="G167" s="401">
        <v>4090102</v>
      </c>
    </row>
    <row r="168" spans="1:7" ht="20.100000000000001" customHeight="1">
      <c r="A168" s="443" t="s">
        <v>533</v>
      </c>
      <c r="B168" s="165"/>
      <c r="C168" s="165"/>
      <c r="D168" s="165"/>
      <c r="E168" s="165"/>
      <c r="F168" s="169" t="s">
        <v>534</v>
      </c>
      <c r="G168" s="401">
        <v>0</v>
      </c>
    </row>
    <row r="169" spans="1:7" ht="20.100000000000001" customHeight="1">
      <c r="A169" s="443" t="s">
        <v>535</v>
      </c>
      <c r="B169" s="165"/>
      <c r="C169" s="165"/>
      <c r="D169" s="165"/>
      <c r="E169" s="165"/>
      <c r="F169" s="169" t="s">
        <v>536</v>
      </c>
      <c r="G169" s="401">
        <v>315950</v>
      </c>
    </row>
    <row r="170" spans="1:7" ht="20.100000000000001" customHeight="1">
      <c r="A170" s="443" t="s">
        <v>537</v>
      </c>
      <c r="B170" s="165"/>
      <c r="C170" s="165"/>
      <c r="D170" s="165"/>
      <c r="E170" s="165"/>
      <c r="F170" s="169" t="s">
        <v>538</v>
      </c>
      <c r="G170" s="401">
        <v>0</v>
      </c>
    </row>
    <row r="171" spans="1:7" ht="20.100000000000001" customHeight="1">
      <c r="A171" s="443" t="s">
        <v>539</v>
      </c>
      <c r="B171" s="165"/>
      <c r="C171" s="165"/>
      <c r="D171" s="165"/>
      <c r="E171" s="165"/>
      <c r="F171" s="169" t="s">
        <v>540</v>
      </c>
      <c r="G171" s="401">
        <v>0</v>
      </c>
    </row>
    <row r="172" spans="1:7" ht="20.100000000000001" customHeight="1">
      <c r="A172" s="443" t="s">
        <v>541</v>
      </c>
      <c r="B172" s="165"/>
      <c r="C172" s="165"/>
      <c r="D172" s="165"/>
      <c r="E172" s="165"/>
      <c r="F172" s="168">
        <v>56001</v>
      </c>
      <c r="G172" s="401">
        <v>3826728</v>
      </c>
    </row>
    <row r="173" spans="1:7" ht="20.100000000000001" customHeight="1">
      <c r="A173" s="443" t="s">
        <v>542</v>
      </c>
      <c r="B173" s="165"/>
      <c r="C173" s="165"/>
      <c r="D173" s="165"/>
      <c r="E173" s="165"/>
      <c r="F173" s="168">
        <v>56002</v>
      </c>
      <c r="G173" s="401">
        <v>0</v>
      </c>
    </row>
    <row r="174" spans="1:7" ht="20.100000000000001" customHeight="1">
      <c r="A174" s="443" t="s">
        <v>543</v>
      </c>
      <c r="B174" s="165"/>
      <c r="C174" s="165"/>
      <c r="D174" s="165"/>
      <c r="E174" s="165"/>
      <c r="F174" s="168">
        <v>56003</v>
      </c>
      <c r="G174" s="401">
        <v>0</v>
      </c>
    </row>
    <row r="175" spans="1:7" ht="20.100000000000001" customHeight="1">
      <c r="A175" s="443" t="s">
        <v>544</v>
      </c>
      <c r="B175" s="165"/>
      <c r="C175" s="165"/>
      <c r="D175" s="165"/>
      <c r="E175" s="165"/>
      <c r="F175" s="187" t="s">
        <v>545</v>
      </c>
      <c r="G175" s="401">
        <v>77500</v>
      </c>
    </row>
    <row r="176" spans="1:7" ht="20.100000000000001" customHeight="1">
      <c r="A176" s="443" t="s">
        <v>546</v>
      </c>
      <c r="B176" s="165"/>
      <c r="C176" s="165"/>
      <c r="D176" s="165"/>
      <c r="E176" s="165"/>
      <c r="F176" s="169" t="s">
        <v>547</v>
      </c>
      <c r="G176" s="401">
        <v>2100</v>
      </c>
    </row>
    <row r="177" spans="1:7" ht="20.100000000000001" customHeight="1">
      <c r="A177" s="451" t="s">
        <v>548</v>
      </c>
      <c r="F177" s="184" t="s">
        <v>549</v>
      </c>
      <c r="G177" s="401">
        <v>100464</v>
      </c>
    </row>
    <row r="178" spans="1:7" ht="20.100000000000001" customHeight="1">
      <c r="A178" s="443" t="s">
        <v>550</v>
      </c>
      <c r="B178" s="165"/>
      <c r="C178" s="165"/>
      <c r="D178" s="165"/>
      <c r="E178" s="165"/>
      <c r="F178" s="169" t="s">
        <v>551</v>
      </c>
      <c r="G178" s="401">
        <v>837875</v>
      </c>
    </row>
    <row r="179" spans="1:7" ht="20.100000000000001" customHeight="1">
      <c r="A179" s="443" t="s">
        <v>552</v>
      </c>
      <c r="B179" s="165"/>
      <c r="C179" s="165"/>
      <c r="D179" s="165"/>
      <c r="E179" s="165"/>
      <c r="F179" s="169" t="s">
        <v>553</v>
      </c>
      <c r="G179" s="401">
        <v>0</v>
      </c>
    </row>
    <row r="180" spans="1:7" ht="20.100000000000001" customHeight="1">
      <c r="A180" s="443" t="s">
        <v>554</v>
      </c>
      <c r="B180" s="165"/>
      <c r="C180" s="165"/>
      <c r="D180" s="165"/>
      <c r="E180" s="165"/>
      <c r="F180" s="169" t="s">
        <v>555</v>
      </c>
      <c r="G180" s="401">
        <v>0</v>
      </c>
    </row>
    <row r="181" spans="1:7" ht="20.100000000000001" customHeight="1">
      <c r="A181" s="443" t="s">
        <v>556</v>
      </c>
      <c r="B181" s="165"/>
      <c r="C181" s="165"/>
      <c r="D181" s="165"/>
      <c r="E181" s="165"/>
      <c r="F181" s="169" t="s">
        <v>557</v>
      </c>
      <c r="G181" s="401">
        <v>0</v>
      </c>
    </row>
    <row r="182" spans="1:7" ht="20.100000000000001" customHeight="1">
      <c r="A182" s="443" t="s">
        <v>558</v>
      </c>
      <c r="B182" s="165"/>
      <c r="C182" s="165"/>
      <c r="D182" s="165"/>
      <c r="E182" s="165"/>
      <c r="F182" s="169" t="s">
        <v>559</v>
      </c>
      <c r="G182" s="401">
        <v>0</v>
      </c>
    </row>
    <row r="183" spans="1:7" ht="20.100000000000001" customHeight="1">
      <c r="A183" s="443" t="s">
        <v>560</v>
      </c>
      <c r="B183" s="165"/>
      <c r="C183" s="165"/>
      <c r="D183" s="165"/>
      <c r="E183" s="165"/>
      <c r="F183" s="169" t="s">
        <v>561</v>
      </c>
      <c r="G183" s="401">
        <v>0</v>
      </c>
    </row>
    <row r="184" spans="1:7" ht="20.100000000000001" customHeight="1">
      <c r="A184" s="443" t="s">
        <v>562</v>
      </c>
      <c r="B184" s="165"/>
      <c r="C184" s="165"/>
      <c r="D184" s="165"/>
      <c r="E184" s="165"/>
      <c r="F184" s="169" t="s">
        <v>563</v>
      </c>
      <c r="G184" s="401">
        <v>2559820</v>
      </c>
    </row>
    <row r="185" spans="1:7" ht="20.100000000000001" customHeight="1">
      <c r="A185" s="443" t="s">
        <v>564</v>
      </c>
      <c r="B185" s="165"/>
      <c r="C185" s="165"/>
      <c r="D185" s="165"/>
      <c r="E185" s="165"/>
      <c r="F185" s="169" t="s">
        <v>565</v>
      </c>
      <c r="G185" s="401">
        <v>4932890</v>
      </c>
    </row>
    <row r="186" spans="1:7" ht="20.100000000000001" customHeight="1">
      <c r="A186" s="443" t="s">
        <v>566</v>
      </c>
      <c r="B186" s="165"/>
      <c r="C186" s="165"/>
      <c r="D186" s="165"/>
      <c r="E186" s="165"/>
      <c r="F186" s="169" t="s">
        <v>567</v>
      </c>
      <c r="G186" s="401">
        <v>0</v>
      </c>
    </row>
    <row r="187" spans="1:7" ht="20.100000000000001" customHeight="1">
      <c r="A187" s="443" t="s">
        <v>568</v>
      </c>
      <c r="B187" s="165"/>
      <c r="C187" s="165"/>
      <c r="D187" s="165"/>
      <c r="E187" s="165"/>
      <c r="F187" s="169" t="s">
        <v>569</v>
      </c>
      <c r="G187" s="401">
        <v>0</v>
      </c>
    </row>
    <row r="188" spans="1:7" ht="20.100000000000001" customHeight="1">
      <c r="A188" s="443" t="s">
        <v>570</v>
      </c>
      <c r="B188" s="165"/>
      <c r="C188" s="165"/>
      <c r="D188" s="165"/>
      <c r="E188" s="165"/>
      <c r="F188" s="169" t="s">
        <v>571</v>
      </c>
      <c r="G188" s="401">
        <v>0</v>
      </c>
    </row>
    <row r="189" spans="1:7" ht="20.100000000000001" customHeight="1">
      <c r="A189" s="443" t="s">
        <v>572</v>
      </c>
      <c r="B189" s="165"/>
      <c r="C189" s="165"/>
      <c r="D189" s="165"/>
      <c r="E189" s="165"/>
      <c r="F189" s="184">
        <v>59600</v>
      </c>
      <c r="G189" s="401">
        <v>0</v>
      </c>
    </row>
    <row r="190" spans="1:7" ht="20.100000000000001" customHeight="1">
      <c r="A190" s="443" t="s">
        <v>573</v>
      </c>
      <c r="B190" s="165"/>
      <c r="C190" s="165"/>
      <c r="D190" s="165"/>
      <c r="E190" s="165"/>
      <c r="F190" s="169" t="s">
        <v>574</v>
      </c>
      <c r="G190" s="401">
        <v>7671959</v>
      </c>
    </row>
    <row r="191" spans="1:7" ht="20.100000000000001" customHeight="1">
      <c r="A191" s="443" t="s">
        <v>575</v>
      </c>
      <c r="B191" s="165"/>
      <c r="C191" s="165"/>
      <c r="D191" s="165"/>
      <c r="E191" s="165"/>
      <c r="F191" s="169" t="s">
        <v>576</v>
      </c>
      <c r="G191" s="401">
        <v>0</v>
      </c>
    </row>
    <row r="192" spans="1:7" ht="20.100000000000001" customHeight="1">
      <c r="A192" s="443" t="s">
        <v>577</v>
      </c>
      <c r="B192" s="165"/>
      <c r="C192" s="165"/>
      <c r="D192" s="165"/>
      <c r="E192" s="165"/>
      <c r="F192" s="169" t="s">
        <v>578</v>
      </c>
      <c r="G192" s="401">
        <v>1000</v>
      </c>
    </row>
    <row r="193" spans="1:7" ht="20.100000000000001" customHeight="1">
      <c r="A193" s="443"/>
      <c r="B193" s="165"/>
      <c r="C193" s="165"/>
      <c r="D193" s="165"/>
      <c r="E193" s="165"/>
      <c r="F193" s="169"/>
      <c r="G193" s="583"/>
    </row>
    <row r="194" spans="1:7" ht="20.100000000000001" customHeight="1">
      <c r="A194" s="456" t="s">
        <v>579</v>
      </c>
      <c r="B194" s="457"/>
      <c r="C194" s="457"/>
      <c r="D194" s="457"/>
      <c r="E194" s="457"/>
      <c r="F194" s="463"/>
      <c r="G194" s="464">
        <f>SUM(G147:G192)</f>
        <v>53708793</v>
      </c>
    </row>
    <row r="195" spans="1:7" ht="20.100000000000001" customHeight="1">
      <c r="A195" s="453"/>
      <c r="B195" s="188"/>
      <c r="C195" s="188"/>
      <c r="D195" s="188"/>
      <c r="E195" s="188"/>
      <c r="F195" s="201"/>
      <c r="G195" s="189"/>
    </row>
    <row r="196" spans="1:7" ht="20.100000000000001" customHeight="1">
      <c r="A196" s="584" t="s">
        <v>580</v>
      </c>
      <c r="B196" s="533"/>
      <c r="C196" s="533"/>
      <c r="D196" s="533"/>
      <c r="E196" s="533"/>
      <c r="F196" s="577"/>
      <c r="G196" s="585"/>
    </row>
    <row r="197" spans="1:7" ht="20.100000000000001" customHeight="1">
      <c r="A197" s="443"/>
      <c r="B197" s="165"/>
      <c r="C197" s="165"/>
      <c r="D197" s="165"/>
      <c r="E197" s="165"/>
      <c r="F197" s="169"/>
      <c r="G197" s="186"/>
    </row>
    <row r="198" spans="1:7" ht="20.100000000000001" customHeight="1">
      <c r="A198" s="443" t="s">
        <v>581</v>
      </c>
      <c r="B198" s="165"/>
      <c r="C198" s="165"/>
      <c r="D198" s="165"/>
      <c r="E198" s="165"/>
      <c r="F198" s="169" t="s">
        <v>582</v>
      </c>
      <c r="G198" s="401">
        <v>701850</v>
      </c>
    </row>
    <row r="199" spans="1:7" ht="20.100000000000001" customHeight="1">
      <c r="A199" s="443" t="s">
        <v>583</v>
      </c>
      <c r="B199" s="165"/>
      <c r="C199" s="165"/>
      <c r="D199" s="165"/>
      <c r="E199" s="165"/>
      <c r="F199" s="169" t="s">
        <v>584</v>
      </c>
      <c r="G199" s="401">
        <v>34800</v>
      </c>
    </row>
    <row r="200" spans="1:7" ht="20.100000000000001" customHeight="1">
      <c r="A200" s="443" t="s">
        <v>585</v>
      </c>
      <c r="B200" s="165"/>
      <c r="C200" s="165"/>
      <c r="D200" s="165"/>
      <c r="E200" s="165"/>
      <c r="F200" s="169" t="s">
        <v>586</v>
      </c>
      <c r="G200" s="401">
        <v>300000</v>
      </c>
    </row>
    <row r="201" spans="1:7" ht="20.100000000000001" customHeight="1">
      <c r="A201" s="443" t="s">
        <v>587</v>
      </c>
      <c r="B201" s="165"/>
      <c r="C201" s="165"/>
      <c r="D201" s="165"/>
      <c r="E201" s="165"/>
      <c r="F201" s="169" t="s">
        <v>588</v>
      </c>
      <c r="G201" s="401">
        <v>345750</v>
      </c>
    </row>
    <row r="202" spans="1:7" ht="20.100000000000001" customHeight="1">
      <c r="A202" s="443" t="s">
        <v>589</v>
      </c>
      <c r="B202" s="165"/>
      <c r="C202" s="165"/>
      <c r="D202" s="165"/>
      <c r="E202" s="165"/>
      <c r="F202" s="169" t="s">
        <v>590</v>
      </c>
      <c r="G202" s="401">
        <v>3051950</v>
      </c>
    </row>
    <row r="203" spans="1:7" ht="20.100000000000001" customHeight="1">
      <c r="A203" s="443" t="s">
        <v>591</v>
      </c>
      <c r="B203" s="165"/>
      <c r="C203" s="165"/>
      <c r="D203" s="165"/>
      <c r="E203" s="165"/>
      <c r="F203" s="169" t="s">
        <v>592</v>
      </c>
      <c r="G203" s="401">
        <v>300250</v>
      </c>
    </row>
    <row r="204" spans="1:7" ht="20.100000000000001" customHeight="1">
      <c r="A204" s="443" t="s">
        <v>593</v>
      </c>
      <c r="B204" s="165"/>
      <c r="C204" s="165"/>
      <c r="D204" s="165"/>
      <c r="E204" s="165"/>
      <c r="F204" s="817">
        <v>63100</v>
      </c>
      <c r="G204" s="401">
        <v>0</v>
      </c>
    </row>
    <row r="205" spans="1:7" ht="20.100000000000001" customHeight="1">
      <c r="A205" s="443" t="s">
        <v>594</v>
      </c>
      <c r="B205" s="165"/>
      <c r="C205" s="165"/>
      <c r="D205" s="165"/>
      <c r="E205" s="165"/>
      <c r="F205" s="169" t="s">
        <v>595</v>
      </c>
      <c r="G205" s="401">
        <v>1416750</v>
      </c>
    </row>
    <row r="206" spans="1:7" ht="20.100000000000001" customHeight="1">
      <c r="A206" s="443" t="s">
        <v>596</v>
      </c>
      <c r="B206" s="165"/>
      <c r="C206" s="165"/>
      <c r="D206" s="165"/>
      <c r="E206" s="165"/>
      <c r="F206" s="169" t="s">
        <v>597</v>
      </c>
      <c r="G206" s="401">
        <v>2880000</v>
      </c>
    </row>
    <row r="207" spans="1:7" ht="20.100000000000001" customHeight="1">
      <c r="A207" s="443" t="s">
        <v>598</v>
      </c>
      <c r="B207" s="165"/>
      <c r="C207" s="165"/>
      <c r="D207" s="165"/>
      <c r="E207" s="165"/>
      <c r="F207" s="169" t="s">
        <v>599</v>
      </c>
      <c r="G207" s="401">
        <v>9059613</v>
      </c>
    </row>
    <row r="208" spans="1:7" ht="20.100000000000001" customHeight="1">
      <c r="A208" s="443" t="s">
        <v>600</v>
      </c>
      <c r="B208" s="165"/>
      <c r="C208" s="165"/>
      <c r="D208" s="165"/>
      <c r="E208" s="165"/>
      <c r="F208" s="169" t="s">
        <v>601</v>
      </c>
      <c r="G208" s="401">
        <v>4000</v>
      </c>
    </row>
    <row r="209" spans="1:9" ht="20.100000000000001" customHeight="1">
      <c r="A209" s="443" t="s">
        <v>602</v>
      </c>
      <c r="B209" s="165"/>
      <c r="C209" s="165"/>
      <c r="D209" s="165"/>
      <c r="E209" s="165"/>
      <c r="F209" s="169" t="s">
        <v>603</v>
      </c>
      <c r="G209" s="401">
        <v>0</v>
      </c>
    </row>
    <row r="210" spans="1:9" ht="20.100000000000001" customHeight="1">
      <c r="A210" s="443" t="s">
        <v>604</v>
      </c>
      <c r="B210" s="165"/>
      <c r="C210" s="165"/>
      <c r="D210" s="165"/>
      <c r="E210" s="165"/>
      <c r="F210" s="169" t="s">
        <v>605</v>
      </c>
      <c r="G210" s="401">
        <v>1171100</v>
      </c>
    </row>
    <row r="211" spans="1:9" ht="20.100000000000001" customHeight="1">
      <c r="A211" s="443" t="s">
        <v>606</v>
      </c>
      <c r="B211" s="165"/>
      <c r="C211" s="165"/>
      <c r="D211" s="165"/>
      <c r="E211" s="165"/>
      <c r="F211" s="169" t="s">
        <v>607</v>
      </c>
      <c r="G211" s="401">
        <v>625380</v>
      </c>
    </row>
    <row r="212" spans="1:9" ht="20.100000000000001" customHeight="1">
      <c r="A212" s="443" t="s">
        <v>608</v>
      </c>
      <c r="F212" s="184" t="s">
        <v>609</v>
      </c>
      <c r="G212" s="401">
        <f>1925366-50000</f>
        <v>1875366</v>
      </c>
    </row>
    <row r="213" spans="1:9" ht="20.100000000000001" customHeight="1">
      <c r="A213" s="443" t="s">
        <v>610</v>
      </c>
      <c r="B213" s="165"/>
      <c r="C213" s="165"/>
      <c r="D213" s="165"/>
      <c r="E213" s="165"/>
      <c r="F213" s="169" t="s">
        <v>611</v>
      </c>
      <c r="G213" s="401">
        <v>216500</v>
      </c>
    </row>
    <row r="214" spans="1:9" ht="20.100000000000001" customHeight="1">
      <c r="A214" s="443" t="s">
        <v>612</v>
      </c>
      <c r="B214" s="165"/>
      <c r="C214" s="165"/>
      <c r="D214" s="165"/>
      <c r="E214" s="165"/>
      <c r="F214" s="169" t="s">
        <v>613</v>
      </c>
      <c r="G214" s="401">
        <v>216150</v>
      </c>
    </row>
    <row r="215" spans="1:9" ht="20.100000000000001" customHeight="1">
      <c r="A215" s="443" t="s">
        <v>614</v>
      </c>
      <c r="B215" s="165"/>
      <c r="C215" s="165"/>
      <c r="D215" s="165"/>
      <c r="E215" s="165"/>
      <c r="F215" s="169" t="s">
        <v>615</v>
      </c>
      <c r="G215" s="401">
        <v>360450</v>
      </c>
    </row>
    <row r="216" spans="1:9" ht="20.100000000000001" customHeight="1">
      <c r="A216" s="443" t="s">
        <v>616</v>
      </c>
      <c r="B216" s="165"/>
      <c r="C216" s="165"/>
      <c r="D216" s="165"/>
      <c r="E216" s="165"/>
      <c r="F216" s="182" t="s">
        <v>617</v>
      </c>
      <c r="G216" s="401">
        <v>0</v>
      </c>
    </row>
    <row r="217" spans="1:9" ht="20.100000000000001" customHeight="1">
      <c r="A217" s="443" t="s">
        <v>618</v>
      </c>
      <c r="B217" s="165"/>
      <c r="C217" s="165"/>
      <c r="D217" s="165"/>
      <c r="E217" s="165"/>
      <c r="F217" s="169" t="s">
        <v>619</v>
      </c>
      <c r="G217" s="401">
        <v>0</v>
      </c>
    </row>
    <row r="218" spans="1:9" ht="20.100000000000001" customHeight="1">
      <c r="A218" s="443" t="s">
        <v>620</v>
      </c>
      <c r="B218" s="165"/>
      <c r="C218" s="165"/>
      <c r="D218" s="165"/>
      <c r="E218" s="165"/>
      <c r="F218" s="169" t="s">
        <v>621</v>
      </c>
      <c r="G218" s="401">
        <v>0</v>
      </c>
    </row>
    <row r="219" spans="1:9" ht="20.100000000000001" customHeight="1">
      <c r="A219" s="443" t="s">
        <v>622</v>
      </c>
      <c r="B219" s="165"/>
      <c r="C219" s="165"/>
      <c r="D219" s="165"/>
      <c r="E219" s="165"/>
      <c r="F219" s="169" t="s">
        <v>623</v>
      </c>
      <c r="G219" s="401">
        <v>0</v>
      </c>
    </row>
    <row r="220" spans="1:9" ht="20.100000000000001" customHeight="1">
      <c r="A220" s="443" t="s">
        <v>624</v>
      </c>
      <c r="B220" s="165"/>
      <c r="C220" s="165"/>
      <c r="D220" s="165"/>
      <c r="E220" s="165"/>
      <c r="F220" s="169" t="s">
        <v>625</v>
      </c>
      <c r="G220" s="401">
        <v>0</v>
      </c>
    </row>
    <row r="221" spans="1:9" ht="20.100000000000001" customHeight="1">
      <c r="A221" s="443" t="s">
        <v>626</v>
      </c>
      <c r="B221" s="165"/>
      <c r="C221" s="165"/>
      <c r="D221" s="165"/>
      <c r="E221" s="165"/>
      <c r="F221" s="169" t="s">
        <v>627</v>
      </c>
      <c r="G221" s="401">
        <v>0</v>
      </c>
    </row>
    <row r="222" spans="1:9" ht="20.100000000000001" customHeight="1">
      <c r="A222" s="454" t="s">
        <v>628</v>
      </c>
      <c r="B222" s="165"/>
      <c r="C222" s="165"/>
      <c r="D222" s="190"/>
      <c r="E222" s="165"/>
      <c r="F222" s="895">
        <v>69100</v>
      </c>
      <c r="G222" s="401">
        <v>0</v>
      </c>
    </row>
    <row r="223" spans="1:9" ht="20.100000000000001" customHeight="1">
      <c r="A223" s="454" t="s">
        <v>629</v>
      </c>
      <c r="B223" s="191"/>
      <c r="C223" s="191"/>
      <c r="D223" s="192"/>
      <c r="E223" s="191"/>
      <c r="F223" s="894">
        <v>69200</v>
      </c>
      <c r="G223" s="401">
        <v>0</v>
      </c>
    </row>
    <row r="224" spans="1:9" ht="20.100000000000001" customHeight="1">
      <c r="A224" s="443" t="s">
        <v>630</v>
      </c>
      <c r="B224" s="165"/>
      <c r="C224" s="165"/>
      <c r="D224" s="165"/>
      <c r="E224" s="165"/>
      <c r="F224" s="169" t="s">
        <v>631</v>
      </c>
      <c r="G224" s="401">
        <v>51200</v>
      </c>
      <c r="I224" s="193"/>
    </row>
    <row r="225" spans="1:7" ht="20.100000000000001" customHeight="1">
      <c r="A225" s="443" t="s">
        <v>632</v>
      </c>
      <c r="B225" s="165"/>
      <c r="C225" s="165"/>
      <c r="D225" s="165"/>
      <c r="E225" s="165"/>
      <c r="F225" s="169" t="s">
        <v>633</v>
      </c>
      <c r="G225" s="401">
        <v>0</v>
      </c>
    </row>
    <row r="226" spans="1:7" ht="20.100000000000001" customHeight="1">
      <c r="A226" s="443" t="s">
        <v>634</v>
      </c>
      <c r="B226" s="165"/>
      <c r="C226" s="165"/>
      <c r="D226" s="165"/>
      <c r="E226" s="165"/>
      <c r="F226" s="169" t="s">
        <v>635</v>
      </c>
      <c r="G226" s="1141">
        <v>0</v>
      </c>
    </row>
    <row r="227" spans="1:7" ht="20.100000000000001" customHeight="1">
      <c r="A227" s="443"/>
      <c r="B227" s="165"/>
      <c r="C227" s="165"/>
      <c r="D227" s="165"/>
      <c r="E227" s="165"/>
      <c r="F227" s="169"/>
      <c r="G227" s="194"/>
    </row>
    <row r="228" spans="1:7" ht="20.100000000000001" customHeight="1">
      <c r="A228" s="1139" t="s">
        <v>636</v>
      </c>
      <c r="B228" s="509"/>
      <c r="C228" s="509"/>
      <c r="D228" s="509"/>
      <c r="E228" s="509"/>
      <c r="F228" s="510"/>
      <c r="G228" s="1142">
        <f>SUM(G198:G226)</f>
        <v>22611109</v>
      </c>
    </row>
    <row r="229" spans="1:7" ht="20.100000000000001" customHeight="1">
      <c r="A229" s="453"/>
      <c r="B229" s="188"/>
      <c r="C229" s="188"/>
      <c r="D229" s="188"/>
      <c r="E229" s="188"/>
      <c r="F229" s="514"/>
      <c r="G229" s="515"/>
    </row>
    <row r="230" spans="1:7" ht="20.100000000000001" customHeight="1">
      <c r="A230" s="1083" t="s">
        <v>239</v>
      </c>
      <c r="B230" s="683"/>
      <c r="C230" s="683"/>
      <c r="D230" s="683"/>
      <c r="E230" s="683"/>
      <c r="F230" s="684"/>
      <c r="G230" s="586"/>
    </row>
    <row r="231" spans="1:7" ht="20.100000000000001" customHeight="1">
      <c r="A231" s="443"/>
      <c r="B231" s="165"/>
      <c r="C231" s="165"/>
      <c r="D231" s="165"/>
      <c r="E231" s="165"/>
      <c r="F231" s="169"/>
      <c r="G231" s="194"/>
    </row>
    <row r="232" spans="1:7" ht="20.100000000000001" customHeight="1">
      <c r="A232" s="443" t="s">
        <v>637</v>
      </c>
      <c r="B232" s="165"/>
      <c r="C232" s="165"/>
      <c r="D232" s="165"/>
      <c r="E232" s="165"/>
      <c r="F232" s="169" t="s">
        <v>638</v>
      </c>
      <c r="G232" s="401">
        <f>866700-820000</f>
        <v>46700</v>
      </c>
    </row>
    <row r="233" spans="1:7" ht="20.100000000000001" customHeight="1">
      <c r="A233" s="443" t="s">
        <v>639</v>
      </c>
      <c r="B233" s="165"/>
      <c r="C233" s="165"/>
      <c r="D233" s="165"/>
      <c r="E233" s="165"/>
      <c r="F233" s="169" t="s">
        <v>640</v>
      </c>
      <c r="G233" s="401">
        <v>3000</v>
      </c>
    </row>
    <row r="234" spans="1:7" ht="20.100000000000001" customHeight="1">
      <c r="A234" s="443" t="s">
        <v>641</v>
      </c>
      <c r="B234" s="165"/>
      <c r="C234" s="165"/>
      <c r="D234" s="165"/>
      <c r="E234" s="165"/>
      <c r="F234" s="169" t="s">
        <v>642</v>
      </c>
      <c r="G234" s="401">
        <f>674500-525228</f>
        <v>149272</v>
      </c>
    </row>
    <row r="235" spans="1:7" ht="20.100000000000001" customHeight="1">
      <c r="A235" s="443" t="s">
        <v>643</v>
      </c>
      <c r="B235" s="165"/>
      <c r="C235" s="165"/>
      <c r="D235" s="165"/>
      <c r="E235" s="165"/>
      <c r="F235" s="858" t="s">
        <v>644</v>
      </c>
      <c r="G235" s="401">
        <v>0</v>
      </c>
    </row>
    <row r="236" spans="1:7" ht="20.100000000000001" customHeight="1">
      <c r="A236" s="443" t="s">
        <v>645</v>
      </c>
      <c r="B236" s="165"/>
      <c r="C236" s="165"/>
      <c r="D236" s="165"/>
      <c r="E236" s="165"/>
      <c r="F236" s="184">
        <v>73001</v>
      </c>
      <c r="G236" s="401">
        <v>0</v>
      </c>
    </row>
    <row r="237" spans="1:7" ht="20.100000000000001" customHeight="1">
      <c r="A237" s="443" t="s">
        <v>646</v>
      </c>
      <c r="B237" s="165"/>
      <c r="C237" s="165"/>
      <c r="D237" s="165"/>
      <c r="E237" s="165"/>
      <c r="F237" s="184">
        <v>73002</v>
      </c>
      <c r="G237" s="401">
        <v>0</v>
      </c>
    </row>
    <row r="238" spans="1:7" ht="20.100000000000001" customHeight="1">
      <c r="A238" s="443" t="s">
        <v>647</v>
      </c>
      <c r="B238" s="165"/>
      <c r="C238" s="165"/>
      <c r="D238" s="165"/>
      <c r="E238" s="165"/>
      <c r="F238" s="184">
        <v>73050</v>
      </c>
      <c r="G238" s="401">
        <v>0</v>
      </c>
    </row>
    <row r="239" spans="1:7" ht="20.100000000000001" customHeight="1">
      <c r="A239" s="443" t="s">
        <v>648</v>
      </c>
      <c r="B239" s="165"/>
      <c r="C239" s="165"/>
      <c r="D239" s="165"/>
      <c r="E239" s="165"/>
      <c r="F239" s="184">
        <v>73100</v>
      </c>
      <c r="G239" s="401">
        <v>440000</v>
      </c>
    </row>
    <row r="240" spans="1:7" ht="20.100000000000001" customHeight="1">
      <c r="A240" s="443" t="s">
        <v>649</v>
      </c>
      <c r="B240" s="165"/>
      <c r="C240" s="165"/>
      <c r="D240" s="165"/>
      <c r="E240" s="165"/>
      <c r="F240" s="169" t="s">
        <v>650</v>
      </c>
      <c r="G240" s="401">
        <v>0</v>
      </c>
    </row>
    <row r="241" spans="1:7" ht="20.100000000000001" customHeight="1">
      <c r="A241" s="443" t="s">
        <v>651</v>
      </c>
      <c r="B241" s="165"/>
      <c r="C241" s="165"/>
      <c r="D241" s="165"/>
      <c r="E241" s="165"/>
      <c r="F241" s="169" t="s">
        <v>652</v>
      </c>
      <c r="G241" s="401">
        <v>75000</v>
      </c>
    </row>
    <row r="242" spans="1:7" ht="20.100000000000001" customHeight="1">
      <c r="A242" s="443" t="s">
        <v>653</v>
      </c>
      <c r="B242" s="165"/>
      <c r="C242" s="165"/>
      <c r="D242" s="165"/>
      <c r="E242" s="165"/>
      <c r="F242" s="169" t="s">
        <v>654</v>
      </c>
      <c r="G242" s="401">
        <v>0</v>
      </c>
    </row>
    <row r="243" spans="1:7" ht="20.100000000000001" customHeight="1">
      <c r="A243" s="443" t="s">
        <v>655</v>
      </c>
      <c r="B243" s="165"/>
      <c r="C243" s="165"/>
      <c r="D243" s="165"/>
      <c r="E243" s="165"/>
      <c r="F243" s="169" t="s">
        <v>656</v>
      </c>
      <c r="G243" s="401">
        <v>300000</v>
      </c>
    </row>
    <row r="244" spans="1:7" ht="20.100000000000001" customHeight="1">
      <c r="A244" s="443" t="s">
        <v>657</v>
      </c>
      <c r="B244" s="165"/>
      <c r="C244" s="165"/>
      <c r="D244" s="165"/>
      <c r="E244" s="165"/>
      <c r="F244" s="169" t="s">
        <v>658</v>
      </c>
      <c r="G244" s="401">
        <v>0</v>
      </c>
    </row>
    <row r="245" spans="1:7" ht="20.100000000000001" customHeight="1">
      <c r="A245" s="443"/>
      <c r="B245" s="165"/>
      <c r="C245" s="165"/>
      <c r="D245" s="165"/>
      <c r="E245" s="165"/>
      <c r="F245" s="169"/>
      <c r="G245" s="587"/>
    </row>
    <row r="246" spans="1:7" ht="20.100000000000001" customHeight="1">
      <c r="A246" s="1139" t="s">
        <v>659</v>
      </c>
      <c r="B246" s="509"/>
      <c r="C246" s="509"/>
      <c r="D246" s="509"/>
      <c r="E246" s="509"/>
      <c r="F246" s="510"/>
      <c r="G246" s="1142">
        <f>SUM(G232:G244)</f>
        <v>1013972</v>
      </c>
    </row>
    <row r="247" spans="1:7" ht="20.100000000000001" customHeight="1">
      <c r="A247" s="453"/>
      <c r="B247" s="188"/>
      <c r="C247" s="188"/>
      <c r="D247" s="188"/>
      <c r="E247" s="188"/>
      <c r="F247" s="188"/>
      <c r="G247" s="516"/>
    </row>
    <row r="248" spans="1:7" ht="20.100000000000001" customHeight="1" thickBot="1">
      <c r="A248" s="465" t="s">
        <v>660</v>
      </c>
      <c r="B248" s="466"/>
      <c r="C248" s="466"/>
      <c r="D248" s="466"/>
      <c r="E248" s="466"/>
      <c r="F248" s="467"/>
      <c r="G248" s="468">
        <f>SUM(G194+G228+G246)</f>
        <v>77333874</v>
      </c>
    </row>
    <row r="249" spans="1:7" ht="20.100000000000001" customHeight="1" thickTop="1">
      <c r="A249" s="1143"/>
      <c r="B249" s="1144"/>
      <c r="C249" s="1144"/>
      <c r="D249" s="1144"/>
      <c r="E249" s="1144"/>
      <c r="F249" s="1145"/>
      <c r="G249" s="1146"/>
    </row>
    <row r="250" spans="1:7" ht="20.100000000000001" customHeight="1">
      <c r="A250" s="691"/>
      <c r="B250" s="692"/>
      <c r="C250" s="692"/>
      <c r="D250" s="692"/>
      <c r="E250" s="692"/>
      <c r="F250" s="693"/>
      <c r="G250" s="588"/>
    </row>
    <row r="251" spans="1:7" ht="20.100000000000001" customHeight="1">
      <c r="A251" s="443"/>
      <c r="B251" s="165"/>
      <c r="C251" s="165"/>
      <c r="D251" s="165"/>
      <c r="E251" s="165"/>
      <c r="F251" s="169"/>
      <c r="G251" s="194"/>
    </row>
    <row r="252" spans="1:7" ht="20.100000000000001" customHeight="1">
      <c r="A252" s="443" t="s">
        <v>661</v>
      </c>
      <c r="B252" s="165"/>
      <c r="C252" s="165"/>
      <c r="D252" s="165"/>
      <c r="E252" s="165"/>
      <c r="F252" s="178">
        <v>30100</v>
      </c>
      <c r="G252" s="401">
        <v>0</v>
      </c>
    </row>
    <row r="253" spans="1:7" ht="20.100000000000001" customHeight="1">
      <c r="A253" s="443" t="s">
        <v>662</v>
      </c>
      <c r="B253" s="165"/>
      <c r="C253" s="165"/>
      <c r="D253" s="165"/>
      <c r="E253" s="165"/>
      <c r="F253" s="178">
        <v>30200</v>
      </c>
      <c r="G253" s="401">
        <v>0</v>
      </c>
    </row>
    <row r="254" spans="1:7" ht="20.100000000000001" customHeight="1">
      <c r="A254" s="443" t="s">
        <v>663</v>
      </c>
      <c r="B254" s="165"/>
      <c r="C254" s="165"/>
      <c r="D254" s="165"/>
      <c r="E254" s="165"/>
      <c r="F254" s="178">
        <v>30300</v>
      </c>
      <c r="G254" s="401">
        <v>0</v>
      </c>
    </row>
    <row r="255" spans="1:7" ht="20.100000000000001" customHeight="1">
      <c r="A255" s="443" t="s">
        <v>664</v>
      </c>
      <c r="B255" s="165"/>
      <c r="C255" s="165"/>
      <c r="D255" s="165"/>
      <c r="E255" s="165"/>
      <c r="F255" s="178">
        <v>30400</v>
      </c>
      <c r="G255" s="401">
        <v>0</v>
      </c>
    </row>
    <row r="256" spans="1:7" ht="20.100000000000001" customHeight="1">
      <c r="A256" s="443" t="s">
        <v>665</v>
      </c>
      <c r="B256" s="165"/>
      <c r="C256" s="165"/>
      <c r="D256" s="165"/>
      <c r="E256" s="165"/>
      <c r="F256" s="178">
        <v>30500</v>
      </c>
      <c r="G256" s="401">
        <v>0</v>
      </c>
    </row>
    <row r="257" spans="1:12" ht="20.100000000000001" customHeight="1">
      <c r="A257" s="443" t="s">
        <v>666</v>
      </c>
      <c r="B257" s="165"/>
      <c r="C257" s="165"/>
      <c r="D257" s="165"/>
      <c r="E257" s="165"/>
      <c r="F257" s="178">
        <v>30600</v>
      </c>
      <c r="G257" s="401">
        <v>0</v>
      </c>
    </row>
    <row r="258" spans="1:12" ht="20.100000000000001" customHeight="1">
      <c r="A258" s="443" t="s">
        <v>667</v>
      </c>
      <c r="B258" s="165"/>
      <c r="C258" s="165"/>
      <c r="D258" s="165"/>
      <c r="E258" s="165"/>
      <c r="F258" s="178">
        <v>30700</v>
      </c>
      <c r="G258" s="401">
        <v>0</v>
      </c>
    </row>
    <row r="259" spans="1:12" ht="20.100000000000001" customHeight="1">
      <c r="A259" s="443" t="s">
        <v>668</v>
      </c>
      <c r="B259" s="165"/>
      <c r="C259" s="165"/>
      <c r="D259" s="165"/>
      <c r="E259" s="165"/>
      <c r="F259" s="178">
        <v>30900</v>
      </c>
      <c r="G259" s="401">
        <v>0</v>
      </c>
    </row>
    <row r="260" spans="1:12" ht="20.100000000000001" customHeight="1">
      <c r="A260" s="443" t="s">
        <v>669</v>
      </c>
      <c r="B260" s="165"/>
      <c r="C260" s="165"/>
      <c r="D260" s="165"/>
      <c r="E260" s="165"/>
      <c r="F260" s="178">
        <v>31100</v>
      </c>
      <c r="G260" s="1147">
        <v>21548903</v>
      </c>
    </row>
    <row r="261" spans="1:12" ht="20.100000000000001" customHeight="1">
      <c r="A261" s="443"/>
      <c r="B261" s="165"/>
      <c r="C261" s="165"/>
      <c r="D261" s="165"/>
      <c r="E261" s="165"/>
      <c r="F261" s="178"/>
      <c r="G261" s="589"/>
    </row>
    <row r="262" spans="1:12" ht="20.100000000000001" customHeight="1">
      <c r="A262" s="444" t="s">
        <v>670</v>
      </c>
      <c r="B262" s="165"/>
      <c r="C262" s="165"/>
      <c r="D262" s="165"/>
      <c r="E262" s="165"/>
      <c r="F262" s="178"/>
      <c r="G262" s="1148">
        <f>SUM(G252:G260)</f>
        <v>21548903</v>
      </c>
    </row>
    <row r="263" spans="1:12" ht="20.100000000000001" customHeight="1">
      <c r="A263" s="444"/>
      <c r="B263" s="165"/>
      <c r="C263" s="165"/>
      <c r="D263" s="165"/>
      <c r="E263" s="165"/>
      <c r="F263" s="178"/>
      <c r="G263" s="194"/>
    </row>
    <row r="264" spans="1:12" ht="20.100000000000001" customHeight="1" thickBot="1">
      <c r="A264" s="455" t="s">
        <v>671</v>
      </c>
      <c r="F264" s="184">
        <v>30800</v>
      </c>
      <c r="G264" s="972">
        <v>-22956519</v>
      </c>
      <c r="H264" s="470"/>
    </row>
    <row r="265" spans="1:12" ht="20.100000000000001" customHeight="1">
      <c r="A265" s="451"/>
      <c r="F265" s="184"/>
      <c r="G265" s="194"/>
    </row>
    <row r="266" spans="1:12" ht="20.100000000000001" customHeight="1">
      <c r="A266" s="456" t="s">
        <v>672</v>
      </c>
      <c r="B266" s="457"/>
      <c r="C266" s="457"/>
      <c r="D266" s="457"/>
      <c r="E266" s="457"/>
      <c r="F266" s="458"/>
      <c r="G266" s="971">
        <f>G262+G264</f>
        <v>-1407616</v>
      </c>
      <c r="H266" s="471"/>
    </row>
    <row r="267" spans="1:12">
      <c r="A267" s="195"/>
      <c r="B267" s="195"/>
      <c r="C267" s="195"/>
      <c r="D267" s="195"/>
      <c r="E267" s="195"/>
      <c r="F267" s="196"/>
      <c r="G267" s="197"/>
      <c r="H267" s="198"/>
      <c r="I267" s="198"/>
      <c r="J267" s="198"/>
      <c r="K267" s="198"/>
      <c r="L267" s="198"/>
    </row>
    <row r="268" spans="1:12" ht="13.5" customHeight="1">
      <c r="I268" s="198"/>
      <c r="J268" s="198"/>
      <c r="K268" s="198"/>
      <c r="L268" s="198"/>
    </row>
    <row r="269" spans="1:12">
      <c r="I269" s="198"/>
      <c r="J269" s="198"/>
      <c r="K269" s="198"/>
      <c r="L269" s="198"/>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 right="0" top="0" bottom="0" header="0" footer="0"/>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2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4:H245 B243:F243 H243"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topLeftCell="A18" zoomScale="70" zoomScaleNormal="70" zoomScalePageLayoutView="70" workbookViewId="0">
      <selection activeCell="G38" sqref="G38"/>
    </sheetView>
  </sheetViews>
  <sheetFormatPr defaultColWidth="8.85546875" defaultRowHeight="12.75"/>
  <cols>
    <col min="1" max="1" width="78.7109375" customWidth="1"/>
  </cols>
  <sheetData>
    <row r="1" spans="1:7" ht="26.1" customHeight="1">
      <c r="A1" s="441" t="s">
        <v>673</v>
      </c>
      <c r="B1" s="440"/>
      <c r="C1" s="440"/>
      <c r="D1" s="440"/>
      <c r="E1" s="440"/>
      <c r="F1" s="440"/>
      <c r="G1" s="440"/>
    </row>
    <row r="2" spans="1:7" ht="26.25">
      <c r="A2" s="431" t="s">
        <v>674</v>
      </c>
      <c r="B2" s="440"/>
    </row>
    <row r="3" spans="1:7" ht="26.1" customHeight="1">
      <c r="A3" s="430" t="s">
        <v>675</v>
      </c>
      <c r="B3" s="442"/>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323850</xdr:colOff>
                <xdr:row>4</xdr:row>
                <xdr:rowOff>171450</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25" zoomScale="80" zoomScaleNormal="80" zoomScalePageLayoutView="80" workbookViewId="0">
      <selection activeCell="B11" sqref="B11"/>
    </sheetView>
  </sheetViews>
  <sheetFormatPr defaultColWidth="9.140625" defaultRowHeight="23.25"/>
  <cols>
    <col min="1" max="1" width="47.7109375" style="59" customWidth="1"/>
    <col min="2" max="2" width="20.7109375" style="59" customWidth="1"/>
    <col min="3" max="4" width="17.42578125" style="59" customWidth="1"/>
    <col min="5" max="5" width="19.85546875" style="59" customWidth="1"/>
    <col min="6" max="6" width="7.42578125" style="59" customWidth="1"/>
    <col min="7" max="16384" width="9.140625" style="59"/>
  </cols>
  <sheetData>
    <row r="1" spans="1:8" ht="24" customHeight="1">
      <c r="A1" s="261"/>
      <c r="B1" s="261"/>
      <c r="C1" s="261"/>
      <c r="D1" s="261"/>
      <c r="E1" s="301" t="s">
        <v>676</v>
      </c>
      <c r="F1" s="261"/>
    </row>
    <row r="2" spans="1:8" ht="24" customHeight="1">
      <c r="A2" s="261"/>
      <c r="B2" s="261"/>
      <c r="C2" s="261"/>
      <c r="D2" s="261"/>
      <c r="E2" s="302"/>
      <c r="F2" s="261"/>
    </row>
    <row r="3" spans="1:8" ht="24" customHeight="1" thickBot="1">
      <c r="A3" s="744" t="s">
        <v>143</v>
      </c>
      <c r="B3" s="1029" t="str">
        <f>'CHECK SHEET'!D7</f>
        <v>Polk State College</v>
      </c>
      <c r="C3" s="1029"/>
      <c r="D3" s="1029"/>
      <c r="E3" s="1029"/>
      <c r="F3" s="260"/>
      <c r="G3" s="298"/>
    </row>
    <row r="4" spans="1:8" ht="24" customHeight="1">
      <c r="A4" s="732" t="s">
        <v>677</v>
      </c>
      <c r="B4" s="732"/>
      <c r="C4" s="732"/>
      <c r="D4" s="732"/>
      <c r="E4" s="732"/>
      <c r="F4" s="260"/>
    </row>
    <row r="5" spans="1:8" ht="24" customHeight="1">
      <c r="A5" s="732" t="s">
        <v>678</v>
      </c>
      <c r="B5" s="732"/>
      <c r="C5" s="732"/>
      <c r="D5" s="732"/>
      <c r="E5" s="732"/>
      <c r="F5" s="260"/>
    </row>
    <row r="6" spans="1:8" ht="24" customHeight="1">
      <c r="A6" s="732" t="s">
        <v>679</v>
      </c>
      <c r="B6" s="732"/>
      <c r="C6" s="732"/>
      <c r="D6" s="732"/>
      <c r="E6" s="732"/>
      <c r="F6" s="260"/>
    </row>
    <row r="7" spans="1:8" ht="20.100000000000001" customHeight="1">
      <c r="A7" s="670"/>
      <c r="B7" s="670"/>
      <c r="C7" s="670"/>
      <c r="D7" s="736"/>
      <c r="E7" s="736"/>
    </row>
    <row r="8" spans="1:8" ht="24" customHeight="1" thickBot="1">
      <c r="A8" s="1086" t="s">
        <v>680</v>
      </c>
      <c r="B8" s="1086"/>
      <c r="C8" s="1086"/>
      <c r="H8" s="299"/>
    </row>
    <row r="9" spans="1:8" s="10" customFormat="1" ht="64.349999999999994" customHeight="1" thickBot="1">
      <c r="A9" s="263" t="s">
        <v>681</v>
      </c>
      <c r="B9" s="671" t="s">
        <v>682</v>
      </c>
      <c r="C9" s="282" t="s">
        <v>683</v>
      </c>
      <c r="D9" s="282" t="s">
        <v>684</v>
      </c>
      <c r="E9" s="317" t="s">
        <v>52</v>
      </c>
      <c r="F9" s="23"/>
      <c r="H9" s="315"/>
    </row>
    <row r="10" spans="1:8" s="10" customFormat="1" ht="20.100000000000001" customHeight="1">
      <c r="A10" s="330" t="s">
        <v>685</v>
      </c>
      <c r="B10" s="402">
        <v>26909579</v>
      </c>
      <c r="C10" s="403">
        <v>4545207</v>
      </c>
      <c r="D10" s="403">
        <v>39200</v>
      </c>
      <c r="E10" s="331">
        <f>SUM(B10:D10)</f>
        <v>31493986</v>
      </c>
      <c r="F10" s="315"/>
      <c r="G10" s="315"/>
    </row>
    <row r="11" spans="1:8" s="10" customFormat="1" ht="20.100000000000001" customHeight="1">
      <c r="A11" s="330" t="s">
        <v>686</v>
      </c>
      <c r="B11" s="404">
        <v>0</v>
      </c>
      <c r="C11" s="398">
        <v>0</v>
      </c>
      <c r="D11" s="398">
        <v>0</v>
      </c>
      <c r="E11" s="331">
        <f>SUM(B11:D11)</f>
        <v>0</v>
      </c>
      <c r="F11" s="315"/>
      <c r="G11" s="315"/>
      <c r="H11" s="315"/>
    </row>
    <row r="12" spans="1:8" s="10" customFormat="1" ht="20.100000000000001" customHeight="1" thickBot="1">
      <c r="A12" s="330" t="s">
        <v>687</v>
      </c>
      <c r="B12" s="404">
        <v>920851</v>
      </c>
      <c r="C12" s="398">
        <v>477500</v>
      </c>
      <c r="D12" s="398">
        <v>9000</v>
      </c>
      <c r="E12" s="332">
        <f>SUM(B12:D12)</f>
        <v>1407351</v>
      </c>
      <c r="F12" s="315"/>
    </row>
    <row r="13" spans="1:8" s="10" customFormat="1" ht="20.100000000000001" customHeight="1" thickBot="1">
      <c r="A13" s="330" t="s">
        <v>688</v>
      </c>
      <c r="B13" s="333"/>
      <c r="C13" s="334"/>
      <c r="D13" s="334"/>
      <c r="E13" s="335"/>
      <c r="F13" s="315"/>
    </row>
    <row r="14" spans="1:8" s="10" customFormat="1" ht="20.100000000000001" customHeight="1">
      <c r="A14" s="330" t="s">
        <v>689</v>
      </c>
      <c r="B14" s="404">
        <v>8510347</v>
      </c>
      <c r="C14" s="405">
        <v>1142280</v>
      </c>
      <c r="D14" s="405">
        <v>8000</v>
      </c>
      <c r="E14" s="332">
        <f t="shared" ref="E14:E20" si="0">SUM(B14:D14)</f>
        <v>9660627</v>
      </c>
      <c r="F14" s="315"/>
    </row>
    <row r="15" spans="1:8" s="10" customFormat="1" ht="20.100000000000001" customHeight="1">
      <c r="A15" s="330" t="s">
        <v>690</v>
      </c>
      <c r="B15" s="404">
        <v>0</v>
      </c>
      <c r="C15" s="398">
        <v>0</v>
      </c>
      <c r="D15" s="398">
        <v>0</v>
      </c>
      <c r="E15" s="332">
        <f>SUM(B15:D15)</f>
        <v>0</v>
      </c>
      <c r="F15" s="315"/>
    </row>
    <row r="16" spans="1:8" s="10" customFormat="1" ht="20.100000000000001" customHeight="1">
      <c r="A16" s="330" t="s">
        <v>691</v>
      </c>
      <c r="B16" s="404">
        <v>6562974</v>
      </c>
      <c r="C16" s="398">
        <v>4395516</v>
      </c>
      <c r="D16" s="398">
        <v>75000</v>
      </c>
      <c r="E16" s="332">
        <f t="shared" si="0"/>
        <v>11033490</v>
      </c>
      <c r="F16" s="315"/>
    </row>
    <row r="17" spans="1:6" s="10" customFormat="1" ht="20.100000000000001" customHeight="1">
      <c r="A17" s="330" t="s">
        <v>692</v>
      </c>
      <c r="B17" s="404">
        <v>9250469</v>
      </c>
      <c r="C17" s="398">
        <v>6431506</v>
      </c>
      <c r="D17" s="398">
        <v>112772</v>
      </c>
      <c r="E17" s="332">
        <f t="shared" si="0"/>
        <v>15794747</v>
      </c>
      <c r="F17" s="315"/>
    </row>
    <row r="18" spans="1:6" s="10" customFormat="1" ht="20.100000000000001" customHeight="1">
      <c r="A18" s="330" t="s">
        <v>693</v>
      </c>
      <c r="B18" s="404">
        <v>1554573</v>
      </c>
      <c r="C18" s="398">
        <v>5619100</v>
      </c>
      <c r="D18" s="398">
        <v>770000</v>
      </c>
      <c r="E18" s="332">
        <f t="shared" si="0"/>
        <v>7943673</v>
      </c>
      <c r="F18" s="315"/>
    </row>
    <row r="19" spans="1:6" s="10" customFormat="1" ht="20.100000000000001" customHeight="1">
      <c r="A19" s="330" t="s">
        <v>694</v>
      </c>
      <c r="B19" s="404">
        <v>0</v>
      </c>
      <c r="C19" s="398">
        <v>0</v>
      </c>
      <c r="D19" s="398">
        <v>0</v>
      </c>
      <c r="E19" s="332">
        <f t="shared" si="0"/>
        <v>0</v>
      </c>
      <c r="F19" s="315"/>
    </row>
    <row r="20" spans="1:6" s="10" customFormat="1" ht="20.100000000000001" customHeight="1" thickBot="1">
      <c r="A20" s="330" t="s">
        <v>695</v>
      </c>
      <c r="B20" s="404">
        <v>0</v>
      </c>
      <c r="C20" s="1087">
        <v>0</v>
      </c>
      <c r="D20" s="1087">
        <v>0</v>
      </c>
      <c r="E20" s="332">
        <f t="shared" si="0"/>
        <v>0</v>
      </c>
      <c r="F20" s="315"/>
    </row>
    <row r="21" spans="1:6" s="10" customFormat="1" ht="24" customHeight="1" thickBot="1">
      <c r="A21" s="270" t="s">
        <v>52</v>
      </c>
      <c r="B21" s="316">
        <f>SUM(B10:B20)</f>
        <v>53708793</v>
      </c>
      <c r="C21" s="319">
        <f>SUM(C10:C20)</f>
        <v>22611109</v>
      </c>
      <c r="D21" s="319">
        <f>SUM(D10:D20)</f>
        <v>1013972</v>
      </c>
      <c r="E21" s="318">
        <f>SUM(E10:E20)</f>
        <v>77333874</v>
      </c>
      <c r="F21" s="315"/>
    </row>
    <row r="22" spans="1:6" ht="24" customHeight="1">
      <c r="B22" s="300"/>
      <c r="F22" s="299"/>
    </row>
    <row r="23" spans="1:6" ht="24" customHeight="1">
      <c r="F23" s="299"/>
    </row>
    <row r="24" spans="1:6">
      <c r="F24" s="299"/>
    </row>
    <row r="25" spans="1:6">
      <c r="F25" s="299"/>
    </row>
    <row r="96" spans="3:4">
      <c r="C96" s="59">
        <f>SUM(C91:C95)</f>
        <v>0</v>
      </c>
      <c r="D96" s="59">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 right="0" top="0" bottom="0" header="0" footer="0"/>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92" zoomScale="60" zoomScaleNormal="60" zoomScaleSheetLayoutView="50" zoomScalePageLayoutView="60" workbookViewId="0"/>
  </sheetViews>
  <sheetFormatPr defaultColWidth="12.42578125" defaultRowHeight="15.75"/>
  <cols>
    <col min="1" max="1" width="26.42578125" style="160" customWidth="1"/>
    <col min="2" max="2" width="94.28515625" style="160" customWidth="1"/>
    <col min="3" max="3" width="66.85546875" style="160" customWidth="1"/>
    <col min="4" max="5" width="25.85546875" style="232" customWidth="1"/>
    <col min="6" max="6" width="33.7109375" style="232" customWidth="1"/>
    <col min="7" max="7" width="3.140625" style="160" customWidth="1"/>
    <col min="8" max="16384" width="12.42578125" style="160"/>
  </cols>
  <sheetData>
    <row r="1" spans="1:224" ht="30" customHeight="1" thickBot="1">
      <c r="A1" s="732" t="s">
        <v>143</v>
      </c>
      <c r="B1" s="1088" t="str">
        <f>'CHECK SHEET'!D7</f>
        <v>Polk State College</v>
      </c>
      <c r="C1" s="1088"/>
      <c r="D1" s="1088"/>
      <c r="E1" s="1088"/>
      <c r="F1" s="1088"/>
      <c r="G1" s="202"/>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3"/>
      <c r="CE1" s="203"/>
      <c r="CF1" s="203"/>
      <c r="CG1" s="203"/>
      <c r="CH1" s="203"/>
      <c r="CI1" s="203"/>
      <c r="CJ1" s="203"/>
      <c r="CK1" s="203"/>
      <c r="CL1" s="203"/>
      <c r="CM1" s="203"/>
      <c r="CN1" s="203"/>
      <c r="CO1" s="203"/>
      <c r="CP1" s="203"/>
      <c r="CQ1" s="203"/>
      <c r="CR1" s="203"/>
      <c r="CS1" s="203"/>
      <c r="CT1" s="203"/>
      <c r="CU1" s="203"/>
      <c r="CV1" s="203"/>
      <c r="CW1" s="203"/>
      <c r="CX1" s="203"/>
      <c r="CY1" s="203"/>
      <c r="CZ1" s="203"/>
      <c r="DA1" s="203"/>
      <c r="DB1" s="203"/>
      <c r="DC1" s="203"/>
      <c r="DD1" s="203"/>
      <c r="DE1" s="203"/>
      <c r="DF1" s="203"/>
      <c r="DG1" s="203"/>
      <c r="DH1" s="203"/>
      <c r="DI1" s="203"/>
      <c r="DJ1" s="203"/>
      <c r="DK1" s="203"/>
      <c r="DL1" s="203"/>
      <c r="DM1" s="203"/>
      <c r="DN1" s="203"/>
      <c r="DO1" s="203"/>
      <c r="DP1" s="203"/>
      <c r="DQ1" s="203"/>
      <c r="DR1" s="203"/>
      <c r="DS1" s="203"/>
      <c r="DT1" s="203"/>
      <c r="DU1" s="203"/>
      <c r="DV1" s="203"/>
      <c r="DW1" s="203"/>
      <c r="DX1" s="203"/>
      <c r="DY1" s="203"/>
      <c r="DZ1" s="203"/>
      <c r="EA1" s="203"/>
      <c r="EB1" s="203"/>
      <c r="EC1" s="203"/>
      <c r="ED1" s="203"/>
      <c r="EE1" s="203"/>
      <c r="EF1" s="203"/>
      <c r="EG1" s="203"/>
      <c r="EH1" s="203"/>
      <c r="EI1" s="203"/>
      <c r="EJ1" s="203"/>
      <c r="EK1" s="203"/>
      <c r="EL1" s="203"/>
      <c r="EM1" s="203"/>
      <c r="EN1" s="203"/>
      <c r="EO1" s="203"/>
      <c r="EP1" s="203"/>
      <c r="EQ1" s="203"/>
      <c r="ER1" s="203"/>
      <c r="ES1" s="203"/>
      <c r="ET1" s="203"/>
      <c r="EU1" s="203"/>
      <c r="EV1" s="203"/>
      <c r="EW1" s="203"/>
      <c r="EX1" s="203"/>
      <c r="EY1" s="203"/>
      <c r="EZ1" s="203"/>
      <c r="FA1" s="203"/>
      <c r="FB1" s="203"/>
      <c r="FC1" s="203"/>
      <c r="FD1" s="203"/>
      <c r="FE1" s="203"/>
      <c r="FF1" s="203"/>
      <c r="FG1" s="203"/>
      <c r="FH1" s="203"/>
      <c r="FI1" s="203"/>
      <c r="FJ1" s="203"/>
      <c r="FK1" s="203"/>
      <c r="FL1" s="203"/>
      <c r="FM1" s="203"/>
      <c r="FN1" s="203"/>
      <c r="FO1" s="203"/>
      <c r="FP1" s="203"/>
      <c r="FQ1" s="203"/>
      <c r="FR1" s="203"/>
      <c r="FS1" s="203"/>
      <c r="FT1" s="203"/>
      <c r="FU1" s="203"/>
      <c r="FV1" s="203"/>
      <c r="FW1" s="203"/>
      <c r="FX1" s="203"/>
      <c r="FY1" s="203"/>
      <c r="FZ1" s="203"/>
      <c r="GA1" s="203"/>
      <c r="GB1" s="203"/>
      <c r="GC1" s="203"/>
      <c r="GD1" s="203"/>
      <c r="GE1" s="203"/>
      <c r="GF1" s="203"/>
      <c r="GG1" s="203"/>
      <c r="GH1" s="203"/>
      <c r="GI1" s="203"/>
      <c r="GJ1" s="203"/>
      <c r="GK1" s="203"/>
      <c r="GL1" s="203"/>
      <c r="GM1" s="203"/>
      <c r="GN1" s="203"/>
      <c r="GO1" s="203"/>
      <c r="GP1" s="203"/>
      <c r="GQ1" s="203"/>
      <c r="GR1" s="203"/>
      <c r="GS1" s="203"/>
      <c r="GT1" s="203"/>
      <c r="GU1" s="203"/>
      <c r="GV1" s="203"/>
      <c r="GW1" s="203"/>
      <c r="GX1" s="203"/>
      <c r="GY1" s="203"/>
      <c r="GZ1" s="203"/>
      <c r="HA1" s="203"/>
      <c r="HB1" s="203"/>
      <c r="HC1" s="203"/>
      <c r="HD1" s="203"/>
      <c r="HE1" s="203"/>
      <c r="HF1" s="203"/>
      <c r="HG1" s="203"/>
      <c r="HH1" s="203"/>
      <c r="HI1" s="203"/>
      <c r="HJ1" s="203"/>
      <c r="HK1" s="203"/>
      <c r="HL1" s="203"/>
      <c r="HM1" s="203"/>
      <c r="HN1" s="203"/>
      <c r="HO1" s="203"/>
      <c r="HP1" s="203"/>
    </row>
    <row r="2" spans="1:224" ht="30" customHeight="1">
      <c r="A2" s="748" t="s">
        <v>696</v>
      </c>
      <c r="B2" s="748"/>
      <c r="C2" s="748"/>
      <c r="D2" s="748"/>
      <c r="E2" s="748"/>
      <c r="F2" s="748"/>
      <c r="G2" s="204"/>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3"/>
      <c r="BJ2" s="203"/>
      <c r="BK2" s="203"/>
      <c r="BL2" s="203"/>
      <c r="BM2" s="203"/>
      <c r="BN2" s="203"/>
      <c r="BO2" s="203"/>
      <c r="BP2" s="203"/>
      <c r="BQ2" s="203"/>
      <c r="BR2" s="203"/>
      <c r="BS2" s="203"/>
      <c r="BT2" s="203"/>
      <c r="BU2" s="203"/>
      <c r="BV2" s="203"/>
      <c r="BW2" s="203"/>
      <c r="BX2" s="203"/>
      <c r="BY2" s="203"/>
      <c r="BZ2" s="203"/>
      <c r="CA2" s="203"/>
      <c r="CB2" s="203"/>
      <c r="CC2" s="203"/>
      <c r="CD2" s="203"/>
      <c r="CE2" s="203"/>
      <c r="CF2" s="203"/>
      <c r="CG2" s="203"/>
      <c r="CH2" s="203"/>
      <c r="CI2" s="203"/>
      <c r="CJ2" s="203"/>
      <c r="CK2" s="203"/>
      <c r="CL2" s="203"/>
      <c r="CM2" s="203"/>
      <c r="CN2" s="203"/>
      <c r="CO2" s="203"/>
      <c r="CP2" s="203"/>
      <c r="CQ2" s="203"/>
      <c r="CR2" s="203"/>
      <c r="CS2" s="203"/>
      <c r="CT2" s="203"/>
      <c r="CU2" s="203"/>
      <c r="CV2" s="203"/>
      <c r="CW2" s="203"/>
      <c r="CX2" s="203"/>
      <c r="CY2" s="203"/>
      <c r="CZ2" s="203"/>
      <c r="DA2" s="203"/>
      <c r="DB2" s="203"/>
      <c r="DC2" s="203"/>
      <c r="DD2" s="203"/>
      <c r="DE2" s="203"/>
      <c r="DF2" s="203"/>
      <c r="DG2" s="203"/>
      <c r="DH2" s="203"/>
      <c r="DI2" s="203"/>
      <c r="DJ2" s="203"/>
      <c r="DK2" s="203"/>
      <c r="DL2" s="203"/>
      <c r="DM2" s="203"/>
      <c r="DN2" s="203"/>
      <c r="DO2" s="203"/>
      <c r="DP2" s="203"/>
      <c r="DQ2" s="203"/>
      <c r="DR2" s="203"/>
      <c r="DS2" s="203"/>
      <c r="DT2" s="203"/>
      <c r="DU2" s="203"/>
      <c r="DV2" s="203"/>
      <c r="DW2" s="203"/>
      <c r="DX2" s="203"/>
      <c r="DY2" s="203"/>
      <c r="DZ2" s="203"/>
      <c r="EA2" s="203"/>
      <c r="EB2" s="203"/>
      <c r="EC2" s="203"/>
      <c r="ED2" s="203"/>
      <c r="EE2" s="203"/>
      <c r="EF2" s="203"/>
      <c r="EG2" s="203"/>
      <c r="EH2" s="203"/>
      <c r="EI2" s="203"/>
      <c r="EJ2" s="203"/>
      <c r="EK2" s="203"/>
      <c r="EL2" s="203"/>
      <c r="EM2" s="203"/>
      <c r="EN2" s="203"/>
      <c r="EO2" s="203"/>
      <c r="EP2" s="203"/>
      <c r="EQ2" s="203"/>
      <c r="ER2" s="203"/>
      <c r="ES2" s="203"/>
      <c r="ET2" s="203"/>
      <c r="EU2" s="203"/>
      <c r="EV2" s="203"/>
      <c r="EW2" s="203"/>
      <c r="EX2" s="203"/>
      <c r="EY2" s="203"/>
      <c r="EZ2" s="203"/>
      <c r="FA2" s="203"/>
      <c r="FB2" s="203"/>
      <c r="FC2" s="203"/>
      <c r="FD2" s="203"/>
      <c r="FE2" s="203"/>
      <c r="FF2" s="203"/>
      <c r="FG2" s="203"/>
      <c r="FH2" s="203"/>
      <c r="FI2" s="203"/>
      <c r="FJ2" s="203"/>
      <c r="FK2" s="203"/>
      <c r="FL2" s="203"/>
      <c r="FM2" s="203"/>
      <c r="FN2" s="203"/>
      <c r="FO2" s="203"/>
      <c r="FP2" s="203"/>
      <c r="FQ2" s="203"/>
      <c r="FR2" s="203"/>
      <c r="FS2" s="203"/>
      <c r="FT2" s="203"/>
      <c r="FU2" s="203"/>
      <c r="FV2" s="203"/>
      <c r="FW2" s="203"/>
      <c r="FX2" s="203"/>
      <c r="FY2" s="203"/>
      <c r="FZ2" s="203"/>
      <c r="GA2" s="203"/>
      <c r="GB2" s="203"/>
      <c r="GC2" s="203"/>
      <c r="GD2" s="203"/>
      <c r="GE2" s="203"/>
      <c r="GF2" s="203"/>
      <c r="GG2" s="203"/>
      <c r="GH2" s="203"/>
      <c r="GI2" s="203"/>
      <c r="GJ2" s="203"/>
      <c r="GK2" s="203"/>
      <c r="GL2" s="203"/>
      <c r="GM2" s="203"/>
      <c r="GN2" s="203"/>
      <c r="GO2" s="203"/>
      <c r="GP2" s="203"/>
      <c r="GQ2" s="203"/>
      <c r="GR2" s="203"/>
      <c r="GS2" s="203"/>
      <c r="GT2" s="203"/>
      <c r="GU2" s="203"/>
      <c r="GV2" s="203"/>
      <c r="GW2" s="203"/>
      <c r="GX2" s="203"/>
      <c r="GY2" s="203"/>
      <c r="GZ2" s="203"/>
      <c r="HA2" s="203"/>
      <c r="HB2" s="203"/>
      <c r="HC2" s="203"/>
      <c r="HD2" s="203"/>
      <c r="HE2" s="203"/>
      <c r="HF2" s="203"/>
      <c r="HG2" s="203"/>
      <c r="HH2" s="203"/>
      <c r="HI2" s="203"/>
      <c r="HJ2" s="203"/>
      <c r="HK2" s="203"/>
      <c r="HL2" s="203"/>
      <c r="HM2" s="203"/>
      <c r="HN2" s="203"/>
      <c r="HO2" s="203"/>
      <c r="HP2" s="203"/>
    </row>
    <row r="3" spans="1:224" s="205" customFormat="1" ht="30" customHeight="1">
      <c r="A3" s="732" t="s">
        <v>697</v>
      </c>
      <c r="B3" s="732"/>
      <c r="C3" s="732"/>
      <c r="D3" s="732"/>
      <c r="E3" s="732"/>
      <c r="F3" s="732"/>
    </row>
    <row r="4" spans="1:224" ht="30" customHeight="1">
      <c r="A4" s="748" t="s">
        <v>679</v>
      </c>
      <c r="B4" s="748"/>
      <c r="C4" s="748"/>
      <c r="D4" s="748"/>
      <c r="E4" s="748"/>
      <c r="F4" s="748"/>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3"/>
      <c r="EB4" s="203"/>
      <c r="EC4" s="203"/>
      <c r="ED4" s="203"/>
      <c r="EE4" s="203"/>
      <c r="EF4" s="203"/>
      <c r="EG4" s="203"/>
      <c r="EH4" s="203"/>
      <c r="EI4" s="203"/>
      <c r="EJ4" s="203"/>
      <c r="EK4" s="203"/>
      <c r="EL4" s="203"/>
      <c r="EM4" s="203"/>
      <c r="EN4" s="203"/>
      <c r="EO4" s="203"/>
      <c r="EP4" s="203"/>
      <c r="EQ4" s="203"/>
      <c r="ER4" s="203"/>
      <c r="ES4" s="203"/>
      <c r="ET4" s="203"/>
      <c r="EU4" s="203"/>
      <c r="EV4" s="203"/>
      <c r="EW4" s="203"/>
      <c r="EX4" s="203"/>
      <c r="EY4" s="203"/>
      <c r="EZ4" s="203"/>
      <c r="FA4" s="203"/>
      <c r="FB4" s="203"/>
      <c r="FC4" s="203"/>
      <c r="FD4" s="203"/>
      <c r="FE4" s="203"/>
      <c r="FF4" s="203"/>
      <c r="FG4" s="203"/>
      <c r="FH4" s="203"/>
      <c r="FI4" s="203"/>
      <c r="FJ4" s="203"/>
      <c r="FK4" s="203"/>
      <c r="FL4" s="203"/>
      <c r="FM4" s="203"/>
      <c r="FN4" s="203"/>
      <c r="FO4" s="203"/>
      <c r="FP4" s="203"/>
      <c r="FQ4" s="203"/>
      <c r="FR4" s="203"/>
      <c r="FS4" s="203"/>
      <c r="FT4" s="203"/>
      <c r="FU4" s="203"/>
      <c r="FV4" s="203"/>
      <c r="FW4" s="203"/>
      <c r="FX4" s="203"/>
      <c r="FY4" s="203"/>
      <c r="FZ4" s="203"/>
      <c r="GA4" s="203"/>
      <c r="GB4" s="203"/>
      <c r="GC4" s="203"/>
      <c r="GD4" s="203"/>
      <c r="GE4" s="203"/>
      <c r="GF4" s="203"/>
      <c r="GG4" s="203"/>
      <c r="GH4" s="203"/>
      <c r="GI4" s="203"/>
      <c r="GJ4" s="203"/>
      <c r="GK4" s="203"/>
      <c r="GL4" s="203"/>
      <c r="GM4" s="203"/>
      <c r="GN4" s="203"/>
      <c r="GO4" s="203"/>
      <c r="GP4" s="203"/>
      <c r="GQ4" s="203"/>
      <c r="GR4" s="203"/>
      <c r="GS4" s="203"/>
      <c r="GT4" s="203"/>
      <c r="GU4" s="203"/>
      <c r="GV4" s="203"/>
      <c r="GW4" s="203"/>
      <c r="GX4" s="203"/>
      <c r="GY4" s="203"/>
      <c r="GZ4" s="203"/>
      <c r="HA4" s="203"/>
      <c r="HB4" s="203"/>
      <c r="HC4" s="203"/>
      <c r="HD4" s="203"/>
      <c r="HE4" s="203"/>
      <c r="HF4" s="203"/>
      <c r="HG4" s="203"/>
      <c r="HH4" s="203"/>
      <c r="HI4" s="203"/>
      <c r="HJ4" s="203"/>
      <c r="HK4" s="203"/>
      <c r="HL4" s="203"/>
      <c r="HM4" s="203"/>
      <c r="HN4" s="203"/>
      <c r="HO4" s="203"/>
      <c r="HP4" s="203"/>
    </row>
    <row r="5" spans="1:224" ht="30" customHeight="1">
      <c r="A5" s="704"/>
      <c r="B5" s="704"/>
      <c r="C5" s="704"/>
      <c r="D5" s="704"/>
      <c r="E5" s="704"/>
      <c r="F5" s="704"/>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c r="GU5" s="203"/>
      <c r="GV5" s="203"/>
      <c r="GW5" s="203"/>
      <c r="GX5" s="203"/>
      <c r="GY5" s="203"/>
      <c r="GZ5" s="203"/>
      <c r="HA5" s="203"/>
      <c r="HB5" s="203"/>
      <c r="HC5" s="203"/>
      <c r="HD5" s="203"/>
      <c r="HE5" s="203"/>
      <c r="HF5" s="203"/>
      <c r="HG5" s="203"/>
      <c r="HH5" s="203"/>
      <c r="HI5" s="203"/>
      <c r="HJ5" s="203"/>
      <c r="HK5" s="203"/>
      <c r="HL5" s="203"/>
      <c r="HM5" s="203"/>
      <c r="HN5" s="203"/>
      <c r="HO5" s="203"/>
      <c r="HP5" s="203"/>
    </row>
    <row r="6" spans="1:224" ht="22.35" customHeight="1" thickBot="1">
      <c r="A6" s="158"/>
      <c r="C6" s="206"/>
      <c r="D6" s="206"/>
      <c r="E6" s="206"/>
      <c r="F6" s="206"/>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203"/>
      <c r="BO6" s="203"/>
      <c r="BP6" s="203"/>
      <c r="BQ6" s="203"/>
      <c r="BR6" s="203"/>
      <c r="BS6" s="203"/>
      <c r="BT6" s="203"/>
      <c r="BU6" s="203"/>
      <c r="BV6" s="203"/>
      <c r="BW6" s="203"/>
      <c r="BX6" s="203"/>
      <c r="BY6" s="203"/>
      <c r="BZ6" s="203"/>
      <c r="CA6" s="203"/>
      <c r="CB6" s="203"/>
      <c r="CC6" s="203"/>
      <c r="CD6" s="203"/>
      <c r="CE6" s="203"/>
      <c r="CF6" s="203"/>
      <c r="CG6" s="203"/>
      <c r="CH6" s="203"/>
      <c r="CI6" s="203"/>
      <c r="CJ6" s="203"/>
      <c r="CK6" s="203"/>
      <c r="CL6" s="203"/>
      <c r="CM6" s="203"/>
      <c r="CN6" s="203"/>
      <c r="CO6" s="203"/>
      <c r="CP6" s="203"/>
      <c r="CQ6" s="203"/>
      <c r="CR6" s="203"/>
      <c r="CS6" s="203"/>
      <c r="CT6" s="203"/>
      <c r="CU6" s="203"/>
      <c r="CV6" s="203"/>
      <c r="CW6" s="203"/>
      <c r="CX6" s="203"/>
      <c r="CY6" s="203"/>
      <c r="CZ6" s="203"/>
      <c r="DA6" s="203"/>
      <c r="DB6" s="203"/>
      <c r="DC6" s="203"/>
      <c r="DD6" s="203"/>
      <c r="DE6" s="203"/>
      <c r="DF6" s="203"/>
      <c r="DG6" s="203"/>
      <c r="DH6" s="203"/>
      <c r="DI6" s="203"/>
      <c r="DJ6" s="203"/>
      <c r="DK6" s="203"/>
      <c r="DL6" s="203"/>
      <c r="DM6" s="203"/>
      <c r="DN6" s="203"/>
      <c r="DO6" s="203"/>
      <c r="DP6" s="203"/>
      <c r="DQ6" s="203"/>
      <c r="DR6" s="203"/>
      <c r="DS6" s="203"/>
      <c r="DT6" s="203"/>
      <c r="DU6" s="203"/>
      <c r="DV6" s="203"/>
      <c r="DW6" s="203"/>
      <c r="DX6" s="203"/>
      <c r="DY6" s="203"/>
      <c r="DZ6" s="203"/>
      <c r="EA6" s="203"/>
      <c r="EB6" s="203"/>
      <c r="EC6" s="203"/>
      <c r="ED6" s="203"/>
      <c r="EE6" s="203"/>
      <c r="EF6" s="203"/>
      <c r="EG6" s="203"/>
      <c r="EH6" s="203"/>
      <c r="EI6" s="203"/>
      <c r="EJ6" s="203"/>
      <c r="EK6" s="203"/>
      <c r="EL6" s="203"/>
      <c r="EM6" s="203"/>
      <c r="EN6" s="203"/>
      <c r="EO6" s="203"/>
      <c r="EP6" s="203"/>
      <c r="EQ6" s="203"/>
      <c r="ER6" s="203"/>
      <c r="ES6" s="203"/>
      <c r="ET6" s="203"/>
      <c r="EU6" s="203"/>
      <c r="EV6" s="203"/>
      <c r="EW6" s="203"/>
      <c r="EX6" s="203"/>
      <c r="EY6" s="203"/>
      <c r="EZ6" s="203"/>
      <c r="FA6" s="203"/>
      <c r="FB6" s="203"/>
      <c r="FC6" s="203"/>
      <c r="FD6" s="203"/>
      <c r="FE6" s="203"/>
      <c r="FF6" s="203"/>
      <c r="FG6" s="203"/>
      <c r="FH6" s="203"/>
      <c r="FI6" s="203"/>
      <c r="FJ6" s="203"/>
      <c r="FK6" s="203"/>
      <c r="FL6" s="203"/>
      <c r="FM6" s="203"/>
      <c r="FN6" s="203"/>
      <c r="FO6" s="203"/>
      <c r="FP6" s="203"/>
      <c r="FQ6" s="203"/>
      <c r="FR6" s="203"/>
      <c r="FS6" s="203"/>
      <c r="FT6" s="203"/>
      <c r="FU6" s="203"/>
      <c r="FV6" s="203"/>
      <c r="FW6" s="203"/>
      <c r="FX6" s="203"/>
      <c r="FY6" s="203"/>
      <c r="FZ6" s="203"/>
      <c r="GA6" s="203"/>
      <c r="GB6" s="203"/>
      <c r="GC6" s="203"/>
      <c r="GD6" s="203"/>
      <c r="GE6" s="203"/>
      <c r="GF6" s="203"/>
      <c r="GG6" s="203"/>
      <c r="GH6" s="203"/>
      <c r="GI6" s="203"/>
      <c r="GJ6" s="203"/>
      <c r="GK6" s="203"/>
      <c r="GL6" s="203"/>
      <c r="GM6" s="203"/>
      <c r="GN6" s="203"/>
      <c r="GO6" s="203"/>
      <c r="GP6" s="203"/>
      <c r="GQ6" s="203"/>
      <c r="GR6" s="203"/>
      <c r="GS6" s="203"/>
      <c r="GT6" s="203"/>
      <c r="GU6" s="203"/>
      <c r="GV6" s="203"/>
      <c r="GW6" s="203"/>
      <c r="GX6" s="203"/>
      <c r="GY6" s="203"/>
      <c r="GZ6" s="203"/>
      <c r="HA6" s="203"/>
      <c r="HB6" s="203"/>
      <c r="HC6" s="203"/>
      <c r="HD6" s="203"/>
      <c r="HE6" s="203"/>
      <c r="HF6" s="203"/>
      <c r="HG6" s="203"/>
      <c r="HH6" s="203"/>
      <c r="HI6" s="203"/>
      <c r="HJ6" s="203"/>
      <c r="HK6" s="203"/>
      <c r="HL6" s="203"/>
      <c r="HM6" s="203"/>
      <c r="HN6" s="203"/>
      <c r="HO6" s="203"/>
      <c r="HP6" s="203"/>
    </row>
    <row r="7" spans="1:224" ht="30" customHeight="1" thickBot="1">
      <c r="A7" s="702" t="s">
        <v>680</v>
      </c>
      <c r="B7" s="703"/>
      <c r="C7" s="696" t="s">
        <v>83</v>
      </c>
      <c r="D7" s="697"/>
      <c r="E7" s="697"/>
      <c r="F7" s="698"/>
      <c r="G7" s="203"/>
      <c r="H7" s="203"/>
      <c r="I7" s="21"/>
      <c r="J7" s="21"/>
      <c r="K7" s="209"/>
      <c r="L7" s="209"/>
      <c r="M7" s="209"/>
      <c r="N7" s="209"/>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A7" s="203"/>
      <c r="BB7" s="203"/>
      <c r="BC7" s="203"/>
      <c r="BD7" s="203"/>
      <c r="BE7" s="203"/>
      <c r="BF7" s="203"/>
      <c r="BG7" s="203"/>
      <c r="BH7" s="203"/>
      <c r="BI7" s="203"/>
      <c r="BJ7" s="203"/>
      <c r="BK7" s="203"/>
      <c r="BL7" s="203"/>
      <c r="BM7" s="203"/>
      <c r="BN7" s="203"/>
      <c r="BO7" s="203"/>
      <c r="BP7" s="203"/>
      <c r="BQ7" s="203"/>
      <c r="BR7" s="203"/>
      <c r="BS7" s="203"/>
      <c r="BT7" s="203"/>
      <c r="BU7" s="203"/>
      <c r="BV7" s="203"/>
      <c r="BW7" s="203"/>
      <c r="BX7" s="203"/>
      <c r="BY7" s="203"/>
      <c r="BZ7" s="203"/>
      <c r="CA7" s="203"/>
      <c r="CB7" s="203"/>
      <c r="CC7" s="203"/>
      <c r="CD7" s="203"/>
      <c r="CE7" s="203"/>
      <c r="CF7" s="203"/>
      <c r="CG7" s="203"/>
      <c r="CH7" s="203"/>
      <c r="CI7" s="203"/>
      <c r="CJ7" s="203"/>
      <c r="CK7" s="203"/>
      <c r="CL7" s="203"/>
      <c r="CM7" s="203"/>
      <c r="CN7" s="203"/>
      <c r="CO7" s="203"/>
      <c r="CP7" s="203"/>
      <c r="CQ7" s="203"/>
      <c r="CR7" s="203"/>
      <c r="CS7" s="203"/>
      <c r="CT7" s="203"/>
      <c r="CU7" s="203"/>
      <c r="CV7" s="203"/>
      <c r="CW7" s="203"/>
      <c r="CX7" s="203"/>
      <c r="CY7" s="203"/>
      <c r="CZ7" s="203"/>
      <c r="DA7" s="203"/>
      <c r="DB7" s="203"/>
      <c r="DC7" s="203"/>
      <c r="DD7" s="203"/>
      <c r="DE7" s="203"/>
      <c r="DF7" s="203"/>
      <c r="DG7" s="203"/>
      <c r="DH7" s="203"/>
      <c r="DI7" s="203"/>
      <c r="DJ7" s="203"/>
      <c r="DK7" s="203"/>
      <c r="DL7" s="203"/>
      <c r="DM7" s="203"/>
      <c r="DN7" s="203"/>
      <c r="DO7" s="203"/>
      <c r="DP7" s="203"/>
      <c r="DQ7" s="203"/>
      <c r="DR7" s="203"/>
      <c r="DS7" s="203"/>
      <c r="DT7" s="203"/>
      <c r="DU7" s="203"/>
      <c r="DV7" s="203"/>
      <c r="DW7" s="203"/>
      <c r="DX7" s="203"/>
      <c r="DY7" s="203"/>
      <c r="DZ7" s="203"/>
      <c r="EA7" s="203"/>
      <c r="EB7" s="203"/>
      <c r="EC7" s="203"/>
      <c r="ED7" s="203"/>
      <c r="EE7" s="203"/>
      <c r="EF7" s="203"/>
      <c r="EG7" s="203"/>
      <c r="EH7" s="203"/>
      <c r="EI7" s="203"/>
      <c r="EJ7" s="203"/>
      <c r="EK7" s="203"/>
      <c r="EL7" s="203"/>
      <c r="EM7" s="203"/>
      <c r="EN7" s="203"/>
      <c r="EO7" s="203"/>
      <c r="EP7" s="203"/>
      <c r="EQ7" s="203"/>
      <c r="ER7" s="203"/>
      <c r="ES7" s="203"/>
      <c r="ET7" s="203"/>
      <c r="EU7" s="203"/>
      <c r="EV7" s="203"/>
      <c r="EW7" s="203"/>
      <c r="EX7" s="203"/>
      <c r="EY7" s="203"/>
      <c r="EZ7" s="203"/>
      <c r="FA7" s="203"/>
      <c r="FB7" s="203"/>
      <c r="FC7" s="203"/>
      <c r="FD7" s="203"/>
      <c r="FE7" s="203"/>
      <c r="FF7" s="203"/>
      <c r="FG7" s="203"/>
      <c r="FH7" s="203"/>
      <c r="FI7" s="203"/>
      <c r="FJ7" s="203"/>
      <c r="FK7" s="203"/>
      <c r="FL7" s="203"/>
      <c r="FM7" s="203"/>
      <c r="FN7" s="203"/>
      <c r="FO7" s="203"/>
      <c r="FP7" s="203"/>
      <c r="FQ7" s="203"/>
      <c r="FR7" s="203"/>
      <c r="FS7" s="203"/>
      <c r="FT7" s="203"/>
      <c r="FU7" s="203"/>
      <c r="FV7" s="203"/>
      <c r="FW7" s="203"/>
      <c r="FX7" s="203"/>
      <c r="FY7" s="203"/>
      <c r="FZ7" s="203"/>
      <c r="GA7" s="203"/>
      <c r="GB7" s="203"/>
      <c r="GC7" s="203"/>
      <c r="GD7" s="203"/>
      <c r="GE7" s="203"/>
      <c r="GF7" s="203"/>
      <c r="GG7" s="203"/>
      <c r="GH7" s="203"/>
      <c r="GI7" s="203"/>
      <c r="GJ7" s="203"/>
      <c r="GK7" s="203"/>
      <c r="GL7" s="203"/>
      <c r="GM7" s="203"/>
      <c r="GN7" s="203"/>
      <c r="GO7" s="203"/>
      <c r="GP7" s="203"/>
      <c r="GQ7" s="203"/>
      <c r="GR7" s="203"/>
      <c r="GS7" s="203"/>
      <c r="GT7" s="203"/>
      <c r="GU7" s="203"/>
      <c r="GV7" s="203"/>
      <c r="GW7" s="203"/>
      <c r="GX7" s="203"/>
      <c r="GY7" s="203"/>
      <c r="GZ7" s="203"/>
      <c r="HA7" s="203"/>
      <c r="HB7" s="203"/>
      <c r="HC7" s="203"/>
      <c r="HD7" s="203"/>
      <c r="HE7" s="203"/>
      <c r="HF7" s="203"/>
      <c r="HG7" s="203"/>
      <c r="HH7" s="203"/>
      <c r="HI7" s="203"/>
      <c r="HJ7" s="203"/>
      <c r="HK7" s="203"/>
      <c r="HL7" s="203"/>
      <c r="HM7" s="203"/>
      <c r="HN7" s="203"/>
      <c r="HO7" s="203"/>
      <c r="HP7" s="203"/>
    </row>
    <row r="8" spans="1:224" s="158" customFormat="1" ht="114.6" customHeight="1" thickBot="1">
      <c r="A8" s="797" t="s">
        <v>698</v>
      </c>
      <c r="B8" s="798"/>
      <c r="C8" s="210" t="s">
        <v>351</v>
      </c>
      <c r="D8" s="211" t="s">
        <v>699</v>
      </c>
      <c r="E8" s="500" t="s">
        <v>700</v>
      </c>
      <c r="F8" s="210" t="s">
        <v>701</v>
      </c>
      <c r="G8" s="208"/>
      <c r="H8" s="208"/>
      <c r="I8" s="76"/>
      <c r="J8" s="21"/>
      <c r="K8" s="81"/>
      <c r="L8" s="81"/>
      <c r="M8" s="81"/>
      <c r="N8" s="81"/>
      <c r="O8" s="208"/>
      <c r="P8" s="208"/>
      <c r="Q8" s="208"/>
      <c r="R8" s="208"/>
      <c r="S8" s="208"/>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8"/>
      <c r="BF8" s="208"/>
      <c r="BG8" s="208"/>
      <c r="BH8" s="208"/>
      <c r="BI8" s="208"/>
      <c r="BJ8" s="208"/>
      <c r="BK8" s="208"/>
      <c r="BL8" s="208"/>
      <c r="BM8" s="208"/>
      <c r="BN8" s="208"/>
      <c r="BO8" s="208"/>
      <c r="BP8" s="208"/>
      <c r="BQ8" s="208"/>
      <c r="BR8" s="208"/>
      <c r="BS8" s="208"/>
      <c r="BT8" s="208"/>
      <c r="BU8" s="208"/>
      <c r="BV8" s="208"/>
      <c r="BW8" s="208"/>
      <c r="BX8" s="208"/>
      <c r="BY8" s="208"/>
      <c r="BZ8" s="208"/>
      <c r="CA8" s="208"/>
      <c r="CB8" s="208"/>
      <c r="CC8" s="208"/>
      <c r="CD8" s="208"/>
      <c r="CE8" s="208"/>
      <c r="CF8" s="208"/>
      <c r="CG8" s="208"/>
      <c r="CH8" s="208"/>
      <c r="CI8" s="208"/>
      <c r="CJ8" s="208"/>
      <c r="CK8" s="208"/>
      <c r="CL8" s="208"/>
      <c r="CM8" s="208"/>
      <c r="CN8" s="208"/>
      <c r="CO8" s="208"/>
      <c r="CP8" s="208"/>
      <c r="CQ8" s="208"/>
      <c r="CR8" s="208"/>
      <c r="CS8" s="208"/>
      <c r="CT8" s="208"/>
      <c r="CU8" s="208"/>
      <c r="CV8" s="208"/>
      <c r="CW8" s="208"/>
      <c r="CX8" s="208"/>
      <c r="CY8" s="208"/>
      <c r="CZ8" s="208"/>
      <c r="DA8" s="208"/>
      <c r="DB8" s="208"/>
      <c r="DC8" s="208"/>
      <c r="DD8" s="208"/>
      <c r="DE8" s="208"/>
      <c r="DF8" s="208"/>
      <c r="DG8" s="208"/>
      <c r="DH8" s="208"/>
      <c r="DI8" s="208"/>
      <c r="DJ8" s="208"/>
      <c r="DK8" s="208"/>
      <c r="DL8" s="208"/>
      <c r="DM8" s="208"/>
      <c r="DN8" s="208"/>
      <c r="DO8" s="208"/>
      <c r="DP8" s="208"/>
      <c r="DQ8" s="208"/>
      <c r="DR8" s="208"/>
      <c r="DS8" s="208"/>
      <c r="DT8" s="208"/>
      <c r="DU8" s="208"/>
      <c r="DV8" s="208"/>
      <c r="DW8" s="208"/>
      <c r="DX8" s="208"/>
      <c r="DY8" s="208"/>
      <c r="DZ8" s="208"/>
      <c r="EA8" s="208"/>
      <c r="EB8" s="208"/>
      <c r="EC8" s="208"/>
      <c r="ED8" s="208"/>
      <c r="EE8" s="208"/>
      <c r="EF8" s="208"/>
      <c r="EG8" s="208"/>
      <c r="EH8" s="208"/>
      <c r="EI8" s="208"/>
      <c r="EJ8" s="208"/>
      <c r="EK8" s="208"/>
      <c r="EL8" s="208"/>
      <c r="EM8" s="208"/>
      <c r="EN8" s="208"/>
      <c r="EO8" s="208"/>
      <c r="EP8" s="208"/>
      <c r="EQ8" s="208"/>
      <c r="ER8" s="208"/>
      <c r="ES8" s="208"/>
      <c r="ET8" s="208"/>
      <c r="EU8" s="208"/>
      <c r="EV8" s="208"/>
      <c r="EW8" s="208"/>
      <c r="EX8" s="208"/>
      <c r="EY8" s="208"/>
      <c r="EZ8" s="208"/>
      <c r="FA8" s="208"/>
      <c r="FB8" s="208"/>
      <c r="FC8" s="208"/>
      <c r="FD8" s="208"/>
      <c r="FE8" s="208"/>
      <c r="FF8" s="208"/>
      <c r="FG8" s="208"/>
      <c r="FH8" s="208"/>
      <c r="FI8" s="208"/>
      <c r="FJ8" s="208"/>
      <c r="FK8" s="208"/>
      <c r="FL8" s="208"/>
      <c r="FM8" s="208"/>
      <c r="FN8" s="208"/>
      <c r="FO8" s="208"/>
      <c r="FP8" s="208"/>
      <c r="FQ8" s="208"/>
      <c r="FR8" s="208"/>
      <c r="FS8" s="208"/>
      <c r="FT8" s="208"/>
      <c r="FU8" s="208"/>
      <c r="FV8" s="208"/>
      <c r="FW8" s="208"/>
      <c r="FX8" s="208"/>
      <c r="FY8" s="208"/>
      <c r="FZ8" s="208"/>
      <c r="GA8" s="208"/>
      <c r="GB8" s="208"/>
      <c r="GC8" s="208"/>
      <c r="GD8" s="208"/>
      <c r="GE8" s="208"/>
      <c r="GF8" s="208"/>
      <c r="GG8" s="208"/>
      <c r="GH8" s="208"/>
      <c r="GI8" s="208"/>
      <c r="GJ8" s="208"/>
      <c r="GK8" s="208"/>
      <c r="GL8" s="208"/>
      <c r="GM8" s="208"/>
      <c r="GN8" s="208"/>
      <c r="GO8" s="208"/>
      <c r="GP8" s="208"/>
      <c r="GQ8" s="208"/>
      <c r="GR8" s="208"/>
      <c r="GS8" s="208"/>
      <c r="GT8" s="208"/>
      <c r="GU8" s="208"/>
      <c r="GV8" s="208"/>
      <c r="GW8" s="208"/>
      <c r="GX8" s="208"/>
      <c r="GY8" s="208"/>
      <c r="GZ8" s="208"/>
      <c r="HA8" s="208"/>
      <c r="HB8" s="208"/>
      <c r="HC8" s="208"/>
      <c r="HD8" s="208"/>
      <c r="HE8" s="208"/>
      <c r="HF8" s="208"/>
      <c r="HG8" s="208"/>
      <c r="HH8" s="208"/>
      <c r="HI8" s="208"/>
      <c r="HJ8" s="208"/>
      <c r="HK8" s="208"/>
      <c r="HL8" s="208"/>
      <c r="HM8" s="208"/>
      <c r="HN8" s="208"/>
      <c r="HO8" s="208"/>
      <c r="HP8" s="208"/>
    </row>
    <row r="9" spans="1:224" s="158" customFormat="1" ht="30" customHeight="1" thickBot="1">
      <c r="A9" s="694" t="s">
        <v>491</v>
      </c>
      <c r="B9" s="699"/>
      <c r="C9" s="235"/>
      <c r="D9" s="248"/>
      <c r="E9" s="248"/>
      <c r="F9" s="248"/>
      <c r="I9" s="76"/>
      <c r="J9" s="21"/>
      <c r="K9" s="81"/>
      <c r="L9" s="81"/>
      <c r="M9" s="81"/>
      <c r="N9" s="81"/>
    </row>
    <row r="10" spans="1:224" s="10" customFormat="1" ht="30" customHeight="1">
      <c r="A10" s="212" t="s">
        <v>492</v>
      </c>
      <c r="B10" s="220"/>
      <c r="C10" s="501" t="s">
        <v>493</v>
      </c>
      <c r="D10" s="959">
        <v>0</v>
      </c>
      <c r="E10" s="959">
        <v>0</v>
      </c>
      <c r="F10" s="960">
        <f t="shared" ref="F10:F73" si="0">+D10+E10</f>
        <v>0</v>
      </c>
      <c r="I10" s="76"/>
      <c r="J10" s="21"/>
      <c r="K10" s="81"/>
      <c r="L10" s="81"/>
      <c r="M10" s="81"/>
      <c r="N10" s="81"/>
    </row>
    <row r="11" spans="1:224" s="10" customFormat="1" ht="30" customHeight="1">
      <c r="A11" s="590" t="s">
        <v>494</v>
      </c>
      <c r="B11" s="591"/>
      <c r="C11" s="592" t="s">
        <v>495</v>
      </c>
      <c r="D11" s="827">
        <v>0</v>
      </c>
      <c r="E11" s="827">
        <v>0</v>
      </c>
      <c r="F11" s="828">
        <f t="shared" si="0"/>
        <v>0</v>
      </c>
      <c r="I11" s="76"/>
      <c r="J11" s="21"/>
      <c r="K11" s="81"/>
      <c r="L11" s="81"/>
      <c r="M11" s="81"/>
      <c r="N11" s="81"/>
    </row>
    <row r="12" spans="1:224" s="10" customFormat="1" ht="30" customHeight="1">
      <c r="A12" s="590" t="s">
        <v>496</v>
      </c>
      <c r="B12" s="591"/>
      <c r="C12" s="592" t="s">
        <v>497</v>
      </c>
      <c r="D12" s="827">
        <v>0</v>
      </c>
      <c r="E12" s="827">
        <v>0</v>
      </c>
      <c r="F12" s="828">
        <f t="shared" si="0"/>
        <v>0</v>
      </c>
      <c r="I12" s="76"/>
      <c r="J12" s="21"/>
      <c r="K12" s="81"/>
      <c r="L12" s="81"/>
      <c r="M12" s="81"/>
      <c r="N12" s="81"/>
    </row>
    <row r="13" spans="1:224" s="10" customFormat="1" ht="30" customHeight="1">
      <c r="A13" s="590" t="s">
        <v>498</v>
      </c>
      <c r="B13" s="591"/>
      <c r="C13" s="592" t="s">
        <v>499</v>
      </c>
      <c r="D13" s="827">
        <v>0</v>
      </c>
      <c r="E13" s="827">
        <v>0</v>
      </c>
      <c r="F13" s="828">
        <f t="shared" si="0"/>
        <v>0</v>
      </c>
      <c r="I13" s="76"/>
      <c r="J13" s="21"/>
      <c r="K13" s="81"/>
      <c r="L13" s="81"/>
      <c r="M13" s="81"/>
      <c r="N13" s="81"/>
    </row>
    <row r="14" spans="1:224" s="10" customFormat="1" ht="30" customHeight="1">
      <c r="A14" s="590" t="s">
        <v>500</v>
      </c>
      <c r="B14" s="591"/>
      <c r="C14" s="592" t="s">
        <v>501</v>
      </c>
      <c r="D14" s="827">
        <v>0</v>
      </c>
      <c r="E14" s="827">
        <v>0</v>
      </c>
      <c r="F14" s="828">
        <f t="shared" si="0"/>
        <v>0</v>
      </c>
      <c r="I14" s="76"/>
      <c r="J14" s="21"/>
      <c r="K14" s="81"/>
      <c r="L14" s="81"/>
      <c r="M14" s="81"/>
      <c r="N14" s="81"/>
    </row>
    <row r="15" spans="1:224" s="10" customFormat="1" ht="30" customHeight="1">
      <c r="A15" s="590" t="s">
        <v>502</v>
      </c>
      <c r="B15" s="591"/>
      <c r="C15" s="592" t="s">
        <v>503</v>
      </c>
      <c r="D15" s="827">
        <v>855142</v>
      </c>
      <c r="E15" s="827">
        <v>0</v>
      </c>
      <c r="F15" s="828">
        <f t="shared" si="0"/>
        <v>855142</v>
      </c>
      <c r="I15" s="76"/>
      <c r="J15" s="21"/>
      <c r="K15" s="81"/>
      <c r="L15" s="81"/>
      <c r="M15" s="81"/>
      <c r="N15" s="81"/>
    </row>
    <row r="16" spans="1:224" s="10" customFormat="1" ht="30" customHeight="1">
      <c r="A16" s="590" t="s">
        <v>504</v>
      </c>
      <c r="B16" s="591"/>
      <c r="C16" s="592" t="s">
        <v>505</v>
      </c>
      <c r="D16" s="827">
        <v>83414</v>
      </c>
      <c r="E16" s="827">
        <v>0</v>
      </c>
      <c r="F16" s="828">
        <f t="shared" si="0"/>
        <v>83414</v>
      </c>
    </row>
    <row r="17" spans="1:6" s="10" customFormat="1" ht="30" customHeight="1">
      <c r="A17" s="590" t="s">
        <v>506</v>
      </c>
      <c r="B17" s="591"/>
      <c r="C17" s="592" t="s">
        <v>507</v>
      </c>
      <c r="D17" s="827">
        <v>0</v>
      </c>
      <c r="E17" s="827">
        <v>0</v>
      </c>
      <c r="F17" s="828">
        <f t="shared" si="0"/>
        <v>0</v>
      </c>
    </row>
    <row r="18" spans="1:6" s="10" customFormat="1" ht="30" customHeight="1">
      <c r="A18" s="590" t="s">
        <v>508</v>
      </c>
      <c r="B18" s="591"/>
      <c r="C18" s="592" t="s">
        <v>509</v>
      </c>
      <c r="D18" s="827">
        <v>0</v>
      </c>
      <c r="E18" s="827">
        <v>0</v>
      </c>
      <c r="F18" s="828">
        <f t="shared" si="0"/>
        <v>0</v>
      </c>
    </row>
    <row r="19" spans="1:6" s="10" customFormat="1" ht="30" customHeight="1">
      <c r="A19" s="590" t="s">
        <v>702</v>
      </c>
      <c r="B19" s="591"/>
      <c r="C19" s="592" t="s">
        <v>511</v>
      </c>
      <c r="D19" s="827">
        <v>0</v>
      </c>
      <c r="E19" s="827">
        <v>0</v>
      </c>
      <c r="F19" s="828">
        <f t="shared" si="0"/>
        <v>0</v>
      </c>
    </row>
    <row r="20" spans="1:6" s="10" customFormat="1" ht="30" customHeight="1">
      <c r="A20" s="590" t="s">
        <v>512</v>
      </c>
      <c r="B20" s="591"/>
      <c r="C20" s="592">
        <v>52500</v>
      </c>
      <c r="D20" s="827">
        <v>0</v>
      </c>
      <c r="E20" s="827">
        <v>0</v>
      </c>
      <c r="F20" s="828">
        <f>+D20+E20</f>
        <v>0</v>
      </c>
    </row>
    <row r="21" spans="1:6" s="10" customFormat="1" ht="30" customHeight="1">
      <c r="A21" s="590" t="s">
        <v>513</v>
      </c>
      <c r="B21" s="591"/>
      <c r="C21" s="592" t="s">
        <v>514</v>
      </c>
      <c r="D21" s="827">
        <v>0</v>
      </c>
      <c r="E21" s="827">
        <v>0</v>
      </c>
      <c r="F21" s="828">
        <f t="shared" si="0"/>
        <v>0</v>
      </c>
    </row>
    <row r="22" spans="1:6" s="10" customFormat="1" ht="30" customHeight="1">
      <c r="A22" s="590" t="s">
        <v>515</v>
      </c>
      <c r="B22" s="591"/>
      <c r="C22" s="592" t="s">
        <v>516</v>
      </c>
      <c r="D22" s="827">
        <v>0</v>
      </c>
      <c r="E22" s="827">
        <v>0</v>
      </c>
      <c r="F22" s="828">
        <f t="shared" si="0"/>
        <v>0</v>
      </c>
    </row>
    <row r="23" spans="1:6" s="10" customFormat="1" ht="30" customHeight="1">
      <c r="A23" s="590" t="s">
        <v>517</v>
      </c>
      <c r="B23" s="591"/>
      <c r="C23" s="592" t="s">
        <v>518</v>
      </c>
      <c r="D23" s="827">
        <v>0</v>
      </c>
      <c r="E23" s="827">
        <v>0</v>
      </c>
      <c r="F23" s="828">
        <f t="shared" si="0"/>
        <v>0</v>
      </c>
    </row>
    <row r="24" spans="1:6" s="10" customFormat="1" ht="30" customHeight="1">
      <c r="A24" s="590" t="s">
        <v>519</v>
      </c>
      <c r="B24" s="591"/>
      <c r="C24" s="592" t="s">
        <v>520</v>
      </c>
      <c r="D24" s="827">
        <v>0</v>
      </c>
      <c r="E24" s="827">
        <v>0</v>
      </c>
      <c r="F24" s="828">
        <f t="shared" si="0"/>
        <v>0</v>
      </c>
    </row>
    <row r="25" spans="1:6" s="10" customFormat="1" ht="30" customHeight="1">
      <c r="A25" s="590" t="s">
        <v>521</v>
      </c>
      <c r="B25" s="591"/>
      <c r="C25" s="592" t="s">
        <v>522</v>
      </c>
      <c r="D25" s="827">
        <v>119173</v>
      </c>
      <c r="E25" s="827">
        <v>0</v>
      </c>
      <c r="F25" s="828">
        <f t="shared" si="0"/>
        <v>119173</v>
      </c>
    </row>
    <row r="26" spans="1:6" s="10" customFormat="1" ht="30" customHeight="1">
      <c r="A26" s="590" t="s">
        <v>523</v>
      </c>
      <c r="B26" s="591"/>
      <c r="C26" s="592" t="s">
        <v>524</v>
      </c>
      <c r="D26" s="827">
        <v>0</v>
      </c>
      <c r="E26" s="827">
        <v>0</v>
      </c>
      <c r="F26" s="828">
        <f t="shared" si="0"/>
        <v>0</v>
      </c>
    </row>
    <row r="27" spans="1:6" s="10" customFormat="1" ht="30" customHeight="1">
      <c r="A27" s="590" t="s">
        <v>525</v>
      </c>
      <c r="B27" s="591"/>
      <c r="C27" s="592" t="s">
        <v>526</v>
      </c>
      <c r="D27" s="827">
        <v>0</v>
      </c>
      <c r="E27" s="827">
        <v>0</v>
      </c>
      <c r="F27" s="828">
        <f t="shared" si="0"/>
        <v>0</v>
      </c>
    </row>
    <row r="28" spans="1:6" s="10" customFormat="1" ht="30" customHeight="1">
      <c r="A28" s="590" t="s">
        <v>527</v>
      </c>
      <c r="B28" s="591"/>
      <c r="C28" s="592" t="s">
        <v>528</v>
      </c>
      <c r="D28" s="827">
        <v>0</v>
      </c>
      <c r="E28" s="827">
        <v>0</v>
      </c>
      <c r="F28" s="828">
        <f t="shared" si="0"/>
        <v>0</v>
      </c>
    </row>
    <row r="29" spans="1:6" s="10" customFormat="1" ht="30" customHeight="1">
      <c r="A29" s="590" t="s">
        <v>529</v>
      </c>
      <c r="B29" s="591"/>
      <c r="C29" s="592" t="s">
        <v>530</v>
      </c>
      <c r="D29" s="827">
        <v>0</v>
      </c>
      <c r="E29" s="827">
        <v>0</v>
      </c>
      <c r="F29" s="828">
        <f t="shared" si="0"/>
        <v>0</v>
      </c>
    </row>
    <row r="30" spans="1:6" s="10" customFormat="1" ht="30" customHeight="1">
      <c r="A30" s="590" t="s">
        <v>531</v>
      </c>
      <c r="B30" s="591"/>
      <c r="C30" s="592" t="s">
        <v>532</v>
      </c>
      <c r="D30" s="827">
        <v>0</v>
      </c>
      <c r="E30" s="827">
        <v>0</v>
      </c>
      <c r="F30" s="828">
        <f t="shared" si="0"/>
        <v>0</v>
      </c>
    </row>
    <row r="31" spans="1:6" s="10" customFormat="1" ht="30" customHeight="1">
      <c r="A31" s="590" t="s">
        <v>533</v>
      </c>
      <c r="B31" s="591"/>
      <c r="C31" s="592" t="s">
        <v>534</v>
      </c>
      <c r="D31" s="827">
        <v>0</v>
      </c>
      <c r="E31" s="827">
        <v>0</v>
      </c>
      <c r="F31" s="828">
        <f t="shared" si="0"/>
        <v>0</v>
      </c>
    </row>
    <row r="32" spans="1:6" s="10" customFormat="1" ht="30" customHeight="1">
      <c r="A32" s="590" t="s">
        <v>535</v>
      </c>
      <c r="B32" s="591"/>
      <c r="C32" s="592" t="s">
        <v>536</v>
      </c>
      <c r="D32" s="827">
        <v>0</v>
      </c>
      <c r="E32" s="827">
        <v>0</v>
      </c>
      <c r="F32" s="828">
        <f>+D32+E32</f>
        <v>0</v>
      </c>
    </row>
    <row r="33" spans="1:6" s="10" customFormat="1" ht="30" customHeight="1">
      <c r="A33" s="590" t="s">
        <v>537</v>
      </c>
      <c r="B33" s="591"/>
      <c r="C33" s="592" t="s">
        <v>538</v>
      </c>
      <c r="D33" s="827">
        <v>0</v>
      </c>
      <c r="E33" s="827">
        <v>0</v>
      </c>
      <c r="F33" s="828">
        <f t="shared" si="0"/>
        <v>0</v>
      </c>
    </row>
    <row r="34" spans="1:6" s="10" customFormat="1" ht="30" customHeight="1">
      <c r="A34" s="590" t="s">
        <v>539</v>
      </c>
      <c r="B34" s="591"/>
      <c r="C34" s="592" t="s">
        <v>540</v>
      </c>
      <c r="D34" s="827">
        <v>0</v>
      </c>
      <c r="E34" s="827">
        <v>0</v>
      </c>
      <c r="F34" s="828">
        <f t="shared" si="0"/>
        <v>0</v>
      </c>
    </row>
    <row r="35" spans="1:6" s="10" customFormat="1" ht="30" customHeight="1">
      <c r="A35" s="590" t="s">
        <v>541</v>
      </c>
      <c r="B35" s="591"/>
      <c r="C35" s="592">
        <v>56001</v>
      </c>
      <c r="D35" s="827">
        <v>215334</v>
      </c>
      <c r="E35" s="827">
        <v>0</v>
      </c>
      <c r="F35" s="828">
        <f>+D35+E35</f>
        <v>215334</v>
      </c>
    </row>
    <row r="36" spans="1:6" s="10" customFormat="1" ht="30" customHeight="1">
      <c r="A36" s="590" t="s">
        <v>542</v>
      </c>
      <c r="B36" s="591"/>
      <c r="C36" s="592">
        <v>56002</v>
      </c>
      <c r="D36" s="827">
        <v>0</v>
      </c>
      <c r="E36" s="827">
        <v>0</v>
      </c>
      <c r="F36" s="828">
        <f>+D36+E36</f>
        <v>0</v>
      </c>
    </row>
    <row r="37" spans="1:6" s="10" customFormat="1" ht="30" customHeight="1">
      <c r="A37" s="590" t="s">
        <v>543</v>
      </c>
      <c r="B37" s="591"/>
      <c r="C37" s="592">
        <v>56003</v>
      </c>
      <c r="D37" s="827">
        <v>0</v>
      </c>
      <c r="E37" s="827">
        <v>0</v>
      </c>
      <c r="F37" s="828">
        <f>+D37+E37</f>
        <v>0</v>
      </c>
    </row>
    <row r="38" spans="1:6" s="10" customFormat="1" ht="30" customHeight="1">
      <c r="A38" s="590" t="s">
        <v>544</v>
      </c>
      <c r="B38" s="591"/>
      <c r="C38" s="592" t="s">
        <v>545</v>
      </c>
      <c r="D38" s="827">
        <v>0</v>
      </c>
      <c r="E38" s="827">
        <v>0</v>
      </c>
      <c r="F38" s="828">
        <f>+D38+E38</f>
        <v>0</v>
      </c>
    </row>
    <row r="39" spans="1:6" s="10" customFormat="1" ht="30" customHeight="1">
      <c r="A39" s="590" t="s">
        <v>546</v>
      </c>
      <c r="B39" s="591"/>
      <c r="C39" s="592" t="s">
        <v>547</v>
      </c>
      <c r="D39" s="827">
        <v>175</v>
      </c>
      <c r="E39" s="827">
        <v>0</v>
      </c>
      <c r="F39" s="828">
        <f t="shared" si="0"/>
        <v>175</v>
      </c>
    </row>
    <row r="40" spans="1:6" s="10" customFormat="1" ht="30" customHeight="1">
      <c r="A40" s="590" t="s">
        <v>548</v>
      </c>
      <c r="B40" s="591"/>
      <c r="C40" s="592" t="s">
        <v>549</v>
      </c>
      <c r="D40" s="827">
        <v>17575</v>
      </c>
      <c r="E40" s="827">
        <v>0</v>
      </c>
      <c r="F40" s="828">
        <f t="shared" si="0"/>
        <v>17575</v>
      </c>
    </row>
    <row r="41" spans="1:6" s="10" customFormat="1" ht="30" customHeight="1">
      <c r="A41" s="590" t="s">
        <v>550</v>
      </c>
      <c r="B41" s="591"/>
      <c r="C41" s="592" t="s">
        <v>551</v>
      </c>
      <c r="D41" s="827">
        <v>0</v>
      </c>
      <c r="E41" s="827">
        <v>0</v>
      </c>
      <c r="F41" s="828">
        <f t="shared" si="0"/>
        <v>0</v>
      </c>
    </row>
    <row r="42" spans="1:6" s="10" customFormat="1" ht="30" customHeight="1">
      <c r="A42" s="590" t="s">
        <v>552</v>
      </c>
      <c r="B42" s="591"/>
      <c r="C42" s="592" t="s">
        <v>553</v>
      </c>
      <c r="D42" s="827">
        <v>0</v>
      </c>
      <c r="E42" s="827">
        <v>0</v>
      </c>
      <c r="F42" s="828">
        <f t="shared" si="0"/>
        <v>0</v>
      </c>
    </row>
    <row r="43" spans="1:6" s="10" customFormat="1" ht="30" customHeight="1">
      <c r="A43" s="590" t="s">
        <v>554</v>
      </c>
      <c r="B43" s="591"/>
      <c r="C43" s="592" t="s">
        <v>555</v>
      </c>
      <c r="D43" s="827">
        <v>0</v>
      </c>
      <c r="E43" s="827">
        <v>0</v>
      </c>
      <c r="F43" s="828">
        <f t="shared" si="0"/>
        <v>0</v>
      </c>
    </row>
    <row r="44" spans="1:6" s="10" customFormat="1" ht="30" customHeight="1">
      <c r="A44" s="590" t="s">
        <v>556</v>
      </c>
      <c r="B44" s="591"/>
      <c r="C44" s="592" t="s">
        <v>557</v>
      </c>
      <c r="D44" s="827">
        <v>0</v>
      </c>
      <c r="E44" s="827">
        <v>0</v>
      </c>
      <c r="F44" s="828">
        <f t="shared" si="0"/>
        <v>0</v>
      </c>
    </row>
    <row r="45" spans="1:6" s="10" customFormat="1" ht="30" customHeight="1">
      <c r="A45" s="590" t="s">
        <v>558</v>
      </c>
      <c r="B45" s="591"/>
      <c r="C45" s="592" t="s">
        <v>559</v>
      </c>
      <c r="D45" s="827">
        <v>0</v>
      </c>
      <c r="E45" s="827">
        <v>0</v>
      </c>
      <c r="F45" s="828">
        <f t="shared" si="0"/>
        <v>0</v>
      </c>
    </row>
    <row r="46" spans="1:6" s="10" customFormat="1" ht="30" customHeight="1">
      <c r="A46" s="590" t="s">
        <v>560</v>
      </c>
      <c r="B46" s="591"/>
      <c r="C46" s="592" t="s">
        <v>561</v>
      </c>
      <c r="D46" s="827">
        <v>0</v>
      </c>
      <c r="E46" s="827">
        <v>0</v>
      </c>
      <c r="F46" s="828">
        <f t="shared" si="0"/>
        <v>0</v>
      </c>
    </row>
    <row r="47" spans="1:6" s="10" customFormat="1" ht="30" customHeight="1">
      <c r="A47" s="590" t="s">
        <v>562</v>
      </c>
      <c r="B47" s="591"/>
      <c r="C47" s="592" t="s">
        <v>563</v>
      </c>
      <c r="D47" s="827">
        <v>68198</v>
      </c>
      <c r="E47" s="827">
        <v>0</v>
      </c>
      <c r="F47" s="828">
        <f t="shared" si="0"/>
        <v>68198</v>
      </c>
    </row>
    <row r="48" spans="1:6" s="10" customFormat="1" ht="30" customHeight="1">
      <c r="A48" s="590" t="s">
        <v>564</v>
      </c>
      <c r="B48" s="591"/>
      <c r="C48" s="592" t="s">
        <v>565</v>
      </c>
      <c r="D48" s="827">
        <v>123354</v>
      </c>
      <c r="E48" s="827">
        <v>0</v>
      </c>
      <c r="F48" s="828">
        <f t="shared" si="0"/>
        <v>123354</v>
      </c>
    </row>
    <row r="49" spans="1:6" s="10" customFormat="1" ht="30" customHeight="1">
      <c r="A49" s="590" t="s">
        <v>566</v>
      </c>
      <c r="B49" s="591"/>
      <c r="C49" s="592" t="s">
        <v>567</v>
      </c>
      <c r="D49" s="827">
        <v>0</v>
      </c>
      <c r="E49" s="827">
        <v>0</v>
      </c>
      <c r="F49" s="828">
        <f t="shared" si="0"/>
        <v>0</v>
      </c>
    </row>
    <row r="50" spans="1:6" s="10" customFormat="1" ht="30" customHeight="1">
      <c r="A50" s="590" t="s">
        <v>568</v>
      </c>
      <c r="B50" s="591"/>
      <c r="C50" s="592" t="s">
        <v>569</v>
      </c>
      <c r="D50" s="827">
        <v>0</v>
      </c>
      <c r="E50" s="827">
        <v>0</v>
      </c>
      <c r="F50" s="828">
        <f t="shared" si="0"/>
        <v>0</v>
      </c>
    </row>
    <row r="51" spans="1:6" s="10" customFormat="1" ht="30" customHeight="1">
      <c r="A51" s="590" t="s">
        <v>570</v>
      </c>
      <c r="B51" s="591"/>
      <c r="C51" s="592" t="s">
        <v>571</v>
      </c>
      <c r="D51" s="827">
        <v>0</v>
      </c>
      <c r="E51" s="827">
        <v>0</v>
      </c>
      <c r="F51" s="828">
        <f t="shared" si="0"/>
        <v>0</v>
      </c>
    </row>
    <row r="52" spans="1:6" s="10" customFormat="1" ht="30" customHeight="1">
      <c r="A52" s="590" t="s">
        <v>703</v>
      </c>
      <c r="B52" s="591"/>
      <c r="C52" s="592" t="s">
        <v>704</v>
      </c>
      <c r="D52" s="827">
        <v>0</v>
      </c>
      <c r="E52" s="827">
        <v>0</v>
      </c>
      <c r="F52" s="828">
        <f>+D52+E52</f>
        <v>0</v>
      </c>
    </row>
    <row r="53" spans="1:6" s="10" customFormat="1" ht="30" customHeight="1">
      <c r="A53" s="590" t="s">
        <v>573</v>
      </c>
      <c r="B53" s="591"/>
      <c r="C53" s="592" t="s">
        <v>574</v>
      </c>
      <c r="D53" s="827">
        <v>198952</v>
      </c>
      <c r="E53" s="827">
        <v>0</v>
      </c>
      <c r="F53" s="828">
        <f t="shared" si="0"/>
        <v>198952</v>
      </c>
    </row>
    <row r="54" spans="1:6" s="10" customFormat="1" ht="30" customHeight="1">
      <c r="A54" s="590" t="s">
        <v>705</v>
      </c>
      <c r="B54" s="591"/>
      <c r="C54" s="592" t="s">
        <v>576</v>
      </c>
      <c r="D54" s="827">
        <v>0</v>
      </c>
      <c r="E54" s="827">
        <v>0</v>
      </c>
      <c r="F54" s="828">
        <f t="shared" si="0"/>
        <v>0</v>
      </c>
    </row>
    <row r="55" spans="1:6" s="10" customFormat="1" ht="30" customHeight="1" thickBot="1">
      <c r="A55" s="593" t="s">
        <v>577</v>
      </c>
      <c r="B55" s="594"/>
      <c r="C55" s="595" t="s">
        <v>578</v>
      </c>
      <c r="D55" s="827">
        <v>0</v>
      </c>
      <c r="E55" s="596">
        <v>0</v>
      </c>
      <c r="F55" s="597">
        <f t="shared" si="0"/>
        <v>0</v>
      </c>
    </row>
    <row r="56" spans="1:6" s="158" customFormat="1" ht="30" customHeight="1" thickBot="1">
      <c r="A56" s="239" t="s">
        <v>579</v>
      </c>
      <c r="B56" s="240"/>
      <c r="C56" s="502"/>
      <c r="D56" s="245">
        <f>SUM(D10:D55)</f>
        <v>1681317</v>
      </c>
      <c r="E56" s="245">
        <f>SUM(E10:E55)</f>
        <v>0</v>
      </c>
      <c r="F56" s="245">
        <f t="shared" si="0"/>
        <v>1681317</v>
      </c>
    </row>
    <row r="57" spans="1:6" s="10" customFormat="1" ht="30" customHeight="1">
      <c r="A57" s="214"/>
      <c r="B57" s="215"/>
      <c r="C57" s="503"/>
      <c r="D57" s="504"/>
      <c r="E57" s="504"/>
      <c r="F57" s="504"/>
    </row>
    <row r="58" spans="1:6" s="10" customFormat="1" ht="30" customHeight="1">
      <c r="A58" s="216"/>
      <c r="B58" s="216"/>
      <c r="C58" s="216"/>
      <c r="D58" s="217"/>
      <c r="E58" s="217"/>
      <c r="F58" s="217"/>
    </row>
    <row r="59" spans="1:6" s="10" customFormat="1" ht="30" customHeight="1" thickBot="1">
      <c r="A59" s="216"/>
      <c r="B59" s="216"/>
      <c r="C59" s="216"/>
      <c r="D59" s="217"/>
      <c r="E59" s="217"/>
      <c r="F59" s="217"/>
    </row>
    <row r="60" spans="1:6" s="10" customFormat="1" ht="30" customHeight="1" thickBot="1">
      <c r="A60" s="207"/>
      <c r="B60" s="208"/>
      <c r="C60" s="696" t="str">
        <f>C7</f>
        <v>2026-27</v>
      </c>
      <c r="D60" s="697"/>
      <c r="E60" s="697"/>
      <c r="F60" s="698"/>
    </row>
    <row r="61" spans="1:6" s="10" customFormat="1" ht="111.6" customHeight="1" thickBot="1">
      <c r="A61" s="797" t="s">
        <v>698</v>
      </c>
      <c r="B61" s="798"/>
      <c r="C61" s="210" t="s">
        <v>351</v>
      </c>
      <c r="D61" s="211" t="s">
        <v>699</v>
      </c>
      <c r="E61" s="500" t="s">
        <v>700</v>
      </c>
      <c r="F61" s="210" t="s">
        <v>701</v>
      </c>
    </row>
    <row r="62" spans="1:6" s="10" customFormat="1" ht="30" customHeight="1" thickBot="1">
      <c r="A62" s="700" t="s">
        <v>238</v>
      </c>
      <c r="B62" s="701"/>
      <c r="C62" s="218"/>
      <c r="D62" s="219"/>
      <c r="E62" s="219"/>
      <c r="F62" s="219"/>
    </row>
    <row r="63" spans="1:6" s="10" customFormat="1" ht="30" customHeight="1">
      <c r="A63" s="212" t="s">
        <v>581</v>
      </c>
      <c r="B63" s="220"/>
      <c r="C63" s="221" t="s">
        <v>582</v>
      </c>
      <c r="D63" s="406">
        <v>3535</v>
      </c>
      <c r="E63" s="406">
        <v>0</v>
      </c>
      <c r="F63" s="213">
        <f t="shared" si="0"/>
        <v>3535</v>
      </c>
    </row>
    <row r="64" spans="1:6" s="10" customFormat="1" ht="30" customHeight="1">
      <c r="A64" s="590" t="s">
        <v>583</v>
      </c>
      <c r="B64" s="591"/>
      <c r="C64" s="826" t="s">
        <v>584</v>
      </c>
      <c r="D64" s="827">
        <v>0</v>
      </c>
      <c r="E64" s="827">
        <v>0</v>
      </c>
      <c r="F64" s="828">
        <f t="shared" si="0"/>
        <v>0</v>
      </c>
    </row>
    <row r="65" spans="1:6" s="10" customFormat="1" ht="30" customHeight="1">
      <c r="A65" s="590" t="s">
        <v>585</v>
      </c>
      <c r="B65" s="591"/>
      <c r="C65" s="826" t="s">
        <v>586</v>
      </c>
      <c r="D65" s="827">
        <v>0</v>
      </c>
      <c r="E65" s="827">
        <v>0</v>
      </c>
      <c r="F65" s="828">
        <f t="shared" si="0"/>
        <v>0</v>
      </c>
    </row>
    <row r="66" spans="1:6" s="10" customFormat="1" ht="30" customHeight="1">
      <c r="A66" s="590" t="s">
        <v>587</v>
      </c>
      <c r="B66" s="591"/>
      <c r="C66" s="826" t="s">
        <v>588</v>
      </c>
      <c r="D66" s="827">
        <v>193</v>
      </c>
      <c r="E66" s="827">
        <v>0</v>
      </c>
      <c r="F66" s="828">
        <f t="shared" si="0"/>
        <v>193</v>
      </c>
    </row>
    <row r="67" spans="1:6" s="10" customFormat="1" ht="30" customHeight="1">
      <c r="A67" s="590" t="s">
        <v>706</v>
      </c>
      <c r="B67" s="591"/>
      <c r="C67" s="826" t="s">
        <v>590</v>
      </c>
      <c r="D67" s="827">
        <v>15750</v>
      </c>
      <c r="E67" s="827">
        <v>0</v>
      </c>
      <c r="F67" s="828">
        <f t="shared" si="0"/>
        <v>15750</v>
      </c>
    </row>
    <row r="68" spans="1:6" s="10" customFormat="1" ht="30" customHeight="1">
      <c r="A68" s="590" t="s">
        <v>707</v>
      </c>
      <c r="B68" s="591"/>
      <c r="C68" s="826" t="s">
        <v>592</v>
      </c>
      <c r="D68" s="827">
        <v>2100</v>
      </c>
      <c r="E68" s="827">
        <v>0</v>
      </c>
      <c r="F68" s="828">
        <f t="shared" si="0"/>
        <v>2100</v>
      </c>
    </row>
    <row r="69" spans="1:6" s="10" customFormat="1" ht="30" customHeight="1">
      <c r="A69" s="829" t="s">
        <v>593</v>
      </c>
      <c r="B69" s="591"/>
      <c r="C69" s="826">
        <v>63100</v>
      </c>
      <c r="D69" s="827">
        <v>0</v>
      </c>
      <c r="E69" s="827">
        <v>0</v>
      </c>
      <c r="F69" s="828">
        <v>0</v>
      </c>
    </row>
    <row r="70" spans="1:6" s="10" customFormat="1" ht="30" customHeight="1">
      <c r="A70" s="590" t="s">
        <v>594</v>
      </c>
      <c r="B70" s="591"/>
      <c r="C70" s="826" t="s">
        <v>595</v>
      </c>
      <c r="D70" s="827">
        <v>397</v>
      </c>
      <c r="E70" s="827">
        <v>0</v>
      </c>
      <c r="F70" s="828">
        <f t="shared" si="0"/>
        <v>397</v>
      </c>
    </row>
    <row r="71" spans="1:6" s="10" customFormat="1" ht="30" customHeight="1">
      <c r="A71" s="590" t="s">
        <v>708</v>
      </c>
      <c r="B71" s="591"/>
      <c r="C71" s="826" t="s">
        <v>597</v>
      </c>
      <c r="D71" s="827">
        <v>0</v>
      </c>
      <c r="E71" s="827">
        <v>0</v>
      </c>
      <c r="F71" s="828">
        <f t="shared" si="0"/>
        <v>0</v>
      </c>
    </row>
    <row r="72" spans="1:6" s="10" customFormat="1" ht="30" customHeight="1">
      <c r="A72" s="590" t="s">
        <v>598</v>
      </c>
      <c r="B72" s="591"/>
      <c r="C72" s="826" t="s">
        <v>599</v>
      </c>
      <c r="D72" s="827">
        <v>10938</v>
      </c>
      <c r="E72" s="827">
        <v>0</v>
      </c>
      <c r="F72" s="828">
        <f t="shared" si="0"/>
        <v>10938</v>
      </c>
    </row>
    <row r="73" spans="1:6" s="10" customFormat="1" ht="30" customHeight="1">
      <c r="A73" s="590" t="s">
        <v>600</v>
      </c>
      <c r="B73" s="591"/>
      <c r="C73" s="826" t="s">
        <v>601</v>
      </c>
      <c r="D73" s="827">
        <v>350</v>
      </c>
      <c r="E73" s="827">
        <v>0</v>
      </c>
      <c r="F73" s="828">
        <f t="shared" si="0"/>
        <v>350</v>
      </c>
    </row>
    <row r="74" spans="1:6" s="10" customFormat="1" ht="30" customHeight="1">
      <c r="A74" s="590" t="s">
        <v>602</v>
      </c>
      <c r="B74" s="591"/>
      <c r="C74" s="826" t="s">
        <v>603</v>
      </c>
      <c r="D74" s="827">
        <v>0</v>
      </c>
      <c r="E74" s="827">
        <v>0</v>
      </c>
      <c r="F74" s="828">
        <f t="shared" ref="F74:F109" si="1">+D74+E74</f>
        <v>0</v>
      </c>
    </row>
    <row r="75" spans="1:6" s="10" customFormat="1" ht="30" customHeight="1">
      <c r="A75" s="590" t="s">
        <v>604</v>
      </c>
      <c r="B75" s="591"/>
      <c r="C75" s="826" t="s">
        <v>605</v>
      </c>
      <c r="D75" s="827">
        <v>0</v>
      </c>
      <c r="E75" s="827">
        <v>0</v>
      </c>
      <c r="F75" s="828">
        <f t="shared" si="1"/>
        <v>0</v>
      </c>
    </row>
    <row r="76" spans="1:6" s="10" customFormat="1" ht="30" customHeight="1">
      <c r="A76" s="590" t="s">
        <v>606</v>
      </c>
      <c r="B76" s="591"/>
      <c r="C76" s="826" t="s">
        <v>607</v>
      </c>
      <c r="D76" s="827">
        <v>2163</v>
      </c>
      <c r="E76" s="827">
        <v>0</v>
      </c>
      <c r="F76" s="828">
        <f t="shared" si="1"/>
        <v>2163</v>
      </c>
    </row>
    <row r="77" spans="1:6" s="10" customFormat="1" ht="30" customHeight="1">
      <c r="A77" s="590" t="s">
        <v>608</v>
      </c>
      <c r="B77" s="591"/>
      <c r="C77" s="826" t="s">
        <v>609</v>
      </c>
      <c r="D77" s="827">
        <v>298</v>
      </c>
      <c r="E77" s="827">
        <v>0</v>
      </c>
      <c r="F77" s="828">
        <f t="shared" si="1"/>
        <v>298</v>
      </c>
    </row>
    <row r="78" spans="1:6" s="10" customFormat="1" ht="30" customHeight="1">
      <c r="A78" s="590" t="s">
        <v>610</v>
      </c>
      <c r="B78" s="591"/>
      <c r="C78" s="826" t="s">
        <v>611</v>
      </c>
      <c r="D78" s="827">
        <v>0</v>
      </c>
      <c r="E78" s="827">
        <v>0</v>
      </c>
      <c r="F78" s="828">
        <f t="shared" si="1"/>
        <v>0</v>
      </c>
    </row>
    <row r="79" spans="1:6" s="10" customFormat="1" ht="30" customHeight="1">
      <c r="A79" s="590" t="s">
        <v>612</v>
      </c>
      <c r="B79" s="591"/>
      <c r="C79" s="826" t="s">
        <v>613</v>
      </c>
      <c r="D79" s="827">
        <v>770</v>
      </c>
      <c r="E79" s="827">
        <v>0</v>
      </c>
      <c r="F79" s="828">
        <f t="shared" si="1"/>
        <v>770</v>
      </c>
    </row>
    <row r="80" spans="1:6" s="10" customFormat="1" ht="30" customHeight="1">
      <c r="A80" s="590" t="s">
        <v>614</v>
      </c>
      <c r="B80" s="591"/>
      <c r="C80" s="826" t="s">
        <v>615</v>
      </c>
      <c r="D80" s="827">
        <v>0</v>
      </c>
      <c r="E80" s="827">
        <v>0</v>
      </c>
      <c r="F80" s="828">
        <f t="shared" ref="F80:F85" si="2">+D80+E80</f>
        <v>0</v>
      </c>
    </row>
    <row r="81" spans="1:6" s="10" customFormat="1" ht="30" customHeight="1">
      <c r="A81" s="590" t="s">
        <v>616</v>
      </c>
      <c r="B81" s="591"/>
      <c r="C81" s="826" t="s">
        <v>617</v>
      </c>
      <c r="D81" s="827">
        <v>0</v>
      </c>
      <c r="E81" s="827">
        <v>0</v>
      </c>
      <c r="F81" s="828">
        <f t="shared" si="2"/>
        <v>0</v>
      </c>
    </row>
    <row r="82" spans="1:6" s="10" customFormat="1" ht="30" customHeight="1">
      <c r="A82" s="590" t="s">
        <v>618</v>
      </c>
      <c r="B82" s="591"/>
      <c r="C82" s="826" t="s">
        <v>619</v>
      </c>
      <c r="D82" s="827">
        <v>0</v>
      </c>
      <c r="E82" s="827">
        <v>0</v>
      </c>
      <c r="F82" s="828">
        <f t="shared" si="2"/>
        <v>0</v>
      </c>
    </row>
    <row r="83" spans="1:6" s="10" customFormat="1" ht="30" customHeight="1">
      <c r="A83" s="590" t="s">
        <v>620</v>
      </c>
      <c r="B83" s="591"/>
      <c r="C83" s="826" t="s">
        <v>621</v>
      </c>
      <c r="D83" s="827">
        <v>0</v>
      </c>
      <c r="E83" s="827">
        <v>0</v>
      </c>
      <c r="F83" s="828">
        <f t="shared" si="2"/>
        <v>0</v>
      </c>
    </row>
    <row r="84" spans="1:6" s="10" customFormat="1" ht="30" customHeight="1">
      <c r="A84" s="590" t="s">
        <v>622</v>
      </c>
      <c r="B84" s="591"/>
      <c r="C84" s="826" t="s">
        <v>623</v>
      </c>
      <c r="D84" s="827">
        <v>0</v>
      </c>
      <c r="E84" s="827">
        <v>0</v>
      </c>
      <c r="F84" s="828">
        <f t="shared" si="2"/>
        <v>0</v>
      </c>
    </row>
    <row r="85" spans="1:6" s="10" customFormat="1" ht="30" customHeight="1">
      <c r="A85" s="590" t="s">
        <v>624</v>
      </c>
      <c r="B85" s="591"/>
      <c r="C85" s="826" t="s">
        <v>625</v>
      </c>
      <c r="D85" s="827">
        <v>0</v>
      </c>
      <c r="E85" s="827">
        <v>0</v>
      </c>
      <c r="F85" s="828">
        <f t="shared" si="2"/>
        <v>0</v>
      </c>
    </row>
    <row r="86" spans="1:6" s="10" customFormat="1" ht="30" customHeight="1">
      <c r="A86" s="590" t="s">
        <v>626</v>
      </c>
      <c r="B86" s="591"/>
      <c r="C86" s="826" t="s">
        <v>627</v>
      </c>
      <c r="D86" s="827">
        <v>0</v>
      </c>
      <c r="E86" s="827">
        <v>0</v>
      </c>
      <c r="F86" s="828">
        <f t="shared" si="1"/>
        <v>0</v>
      </c>
    </row>
    <row r="87" spans="1:6" s="10" customFormat="1" ht="30" customHeight="1">
      <c r="A87" s="590" t="s">
        <v>709</v>
      </c>
      <c r="B87" s="591"/>
      <c r="C87" s="826">
        <v>69100</v>
      </c>
      <c r="D87" s="827">
        <v>0</v>
      </c>
      <c r="E87" s="827">
        <v>0</v>
      </c>
      <c r="F87" s="828">
        <f t="shared" si="1"/>
        <v>0</v>
      </c>
    </row>
    <row r="88" spans="1:6" s="10" customFormat="1" ht="30" customHeight="1">
      <c r="A88" s="590" t="s">
        <v>710</v>
      </c>
      <c r="B88" s="591"/>
      <c r="C88" s="826">
        <v>69200</v>
      </c>
      <c r="D88" s="827">
        <v>0</v>
      </c>
      <c r="E88" s="827">
        <v>0</v>
      </c>
      <c r="F88" s="828">
        <f t="shared" si="1"/>
        <v>0</v>
      </c>
    </row>
    <row r="89" spans="1:6" s="10" customFormat="1" ht="30" customHeight="1">
      <c r="A89" s="590" t="s">
        <v>630</v>
      </c>
      <c r="B89" s="591"/>
      <c r="C89" s="826" t="s">
        <v>631</v>
      </c>
      <c r="D89" s="827">
        <v>0</v>
      </c>
      <c r="E89" s="827">
        <v>0</v>
      </c>
      <c r="F89" s="828">
        <f t="shared" si="1"/>
        <v>0</v>
      </c>
    </row>
    <row r="90" spans="1:6" s="10" customFormat="1" ht="30" customHeight="1">
      <c r="A90" s="590" t="s">
        <v>485</v>
      </c>
      <c r="B90" s="591"/>
      <c r="C90" s="826" t="s">
        <v>633</v>
      </c>
      <c r="D90" s="827">
        <v>0</v>
      </c>
      <c r="E90" s="827">
        <v>0</v>
      </c>
      <c r="F90" s="828">
        <f t="shared" si="1"/>
        <v>0</v>
      </c>
    </row>
    <row r="91" spans="1:6" s="10" customFormat="1" ht="30" customHeight="1" thickBot="1">
      <c r="A91" s="593" t="s">
        <v>634</v>
      </c>
      <c r="B91" s="594"/>
      <c r="C91" s="598" t="s">
        <v>635</v>
      </c>
      <c r="D91" s="827">
        <v>0</v>
      </c>
      <c r="E91" s="827">
        <v>0</v>
      </c>
      <c r="F91" s="597">
        <f t="shared" si="1"/>
        <v>0</v>
      </c>
    </row>
    <row r="92" spans="1:6" s="10" customFormat="1" ht="30" customHeight="1" thickBot="1">
      <c r="A92" s="694" t="s">
        <v>711</v>
      </c>
      <c r="B92" s="699"/>
      <c r="C92" s="242"/>
      <c r="D92" s="241">
        <f>SUM(D63:D91)</f>
        <v>36494</v>
      </c>
      <c r="E92" s="241">
        <f>SUM(E63:E91)</f>
        <v>0</v>
      </c>
      <c r="F92" s="241">
        <f t="shared" si="1"/>
        <v>36494</v>
      </c>
    </row>
    <row r="93" spans="1:6" s="10" customFormat="1" ht="30" customHeight="1">
      <c r="A93" s="222"/>
      <c r="B93" s="222"/>
      <c r="C93" s="222"/>
      <c r="D93" s="223"/>
      <c r="E93" s="223"/>
      <c r="F93" s="223"/>
    </row>
    <row r="94" spans="1:6" s="10" customFormat="1" ht="30" customHeight="1" thickBot="1">
      <c r="A94" s="222"/>
      <c r="B94" s="222"/>
      <c r="C94" s="222"/>
      <c r="D94" s="223"/>
      <c r="E94" s="223"/>
      <c r="F94" s="223"/>
    </row>
    <row r="95" spans="1:6" s="10" customFormat="1" ht="30" customHeight="1" thickBot="1">
      <c r="A95" s="224"/>
      <c r="B95" s="224"/>
      <c r="C95" s="696" t="str">
        <f>C7</f>
        <v>2026-27</v>
      </c>
      <c r="D95" s="697"/>
      <c r="E95" s="697"/>
      <c r="F95" s="698"/>
    </row>
    <row r="96" spans="1:6" s="10" customFormat="1" ht="111.6" customHeight="1" thickBot="1">
      <c r="A96" s="799" t="s">
        <v>239</v>
      </c>
      <c r="B96" s="800"/>
      <c r="C96" s="210" t="s">
        <v>351</v>
      </c>
      <c r="D96" s="211" t="s">
        <v>699</v>
      </c>
      <c r="E96" s="500" t="s">
        <v>700</v>
      </c>
      <c r="F96" s="210" t="s">
        <v>701</v>
      </c>
    </row>
    <row r="97" spans="1:6" s="10" customFormat="1" ht="30" customHeight="1">
      <c r="A97" s="212" t="s">
        <v>637</v>
      </c>
      <c r="B97" s="220"/>
      <c r="C97" s="221" t="s">
        <v>638</v>
      </c>
      <c r="D97" s="406">
        <v>0</v>
      </c>
      <c r="E97" s="406">
        <v>0</v>
      </c>
      <c r="F97" s="213">
        <f t="shared" si="1"/>
        <v>0</v>
      </c>
    </row>
    <row r="98" spans="1:6" s="10" customFormat="1" ht="30" customHeight="1">
      <c r="A98" s="590" t="s">
        <v>712</v>
      </c>
      <c r="B98" s="591"/>
      <c r="C98" s="826" t="s">
        <v>640</v>
      </c>
      <c r="D98" s="827">
        <v>0</v>
      </c>
      <c r="E98" s="827">
        <v>0</v>
      </c>
      <c r="F98" s="828">
        <f t="shared" si="1"/>
        <v>0</v>
      </c>
    </row>
    <row r="99" spans="1:6" s="10" customFormat="1" ht="30" customHeight="1">
      <c r="A99" s="590" t="s">
        <v>641</v>
      </c>
      <c r="B99" s="591"/>
      <c r="C99" s="826" t="s">
        <v>642</v>
      </c>
      <c r="D99" s="827">
        <v>0</v>
      </c>
      <c r="E99" s="827">
        <v>0</v>
      </c>
      <c r="F99" s="828">
        <f t="shared" si="1"/>
        <v>0</v>
      </c>
    </row>
    <row r="100" spans="1:6" s="10" customFormat="1" ht="30" customHeight="1">
      <c r="A100" s="590" t="s">
        <v>643</v>
      </c>
      <c r="B100" s="591"/>
      <c r="C100" s="826" t="s">
        <v>644</v>
      </c>
      <c r="D100" s="827">
        <v>0</v>
      </c>
      <c r="E100" s="827">
        <v>0</v>
      </c>
      <c r="F100" s="828">
        <f t="shared" si="1"/>
        <v>0</v>
      </c>
    </row>
    <row r="101" spans="1:6" s="10" customFormat="1" ht="30" customHeight="1">
      <c r="A101" s="590" t="s">
        <v>649</v>
      </c>
      <c r="B101" s="591"/>
      <c r="C101" s="826" t="s">
        <v>650</v>
      </c>
      <c r="D101" s="827">
        <v>0</v>
      </c>
      <c r="E101" s="827">
        <v>0</v>
      </c>
      <c r="F101" s="828">
        <f t="shared" si="1"/>
        <v>0</v>
      </c>
    </row>
    <row r="102" spans="1:6" s="10" customFormat="1" ht="30" customHeight="1">
      <c r="A102" s="896" t="s">
        <v>645</v>
      </c>
      <c r="B102" s="897"/>
      <c r="C102" s="1149">
        <v>73001</v>
      </c>
      <c r="D102" s="1150">
        <v>0</v>
      </c>
      <c r="E102" s="1150">
        <v>0</v>
      </c>
      <c r="F102" s="1108">
        <f t="shared" si="1"/>
        <v>0</v>
      </c>
    </row>
    <row r="103" spans="1:6" s="10" customFormat="1" ht="30" customHeight="1">
      <c r="A103" s="898" t="s">
        <v>646</v>
      </c>
      <c r="B103" s="899"/>
      <c r="C103" s="900">
        <v>73002</v>
      </c>
      <c r="D103" s="917">
        <v>0</v>
      </c>
      <c r="E103" s="917">
        <v>0</v>
      </c>
      <c r="F103" s="859">
        <f t="shared" si="1"/>
        <v>0</v>
      </c>
    </row>
    <row r="104" spans="1:6" s="10" customFormat="1" ht="30" customHeight="1">
      <c r="A104" s="590" t="s">
        <v>647</v>
      </c>
      <c r="B104" s="591"/>
      <c r="C104" s="1151">
        <v>73050</v>
      </c>
      <c r="D104" s="1152">
        <v>0</v>
      </c>
      <c r="E104" s="1152">
        <v>0</v>
      </c>
      <c r="F104" s="1153">
        <f>+D104+E104</f>
        <v>0</v>
      </c>
    </row>
    <row r="105" spans="1:6" s="10" customFormat="1" ht="30" customHeight="1">
      <c r="A105" s="829" t="s">
        <v>648</v>
      </c>
      <c r="B105" s="591"/>
      <c r="C105" s="826">
        <v>73100</v>
      </c>
      <c r="D105" s="827">
        <v>0</v>
      </c>
      <c r="E105" s="827">
        <v>0</v>
      </c>
      <c r="F105" s="1153">
        <f>+D105+E105</f>
        <v>0</v>
      </c>
    </row>
    <row r="106" spans="1:6" s="10" customFormat="1" ht="47.25" customHeight="1">
      <c r="A106" s="879" t="s">
        <v>713</v>
      </c>
      <c r="B106" s="880"/>
      <c r="C106" s="826" t="s">
        <v>652</v>
      </c>
      <c r="D106" s="827">
        <v>0</v>
      </c>
      <c r="E106" s="827">
        <v>0</v>
      </c>
      <c r="F106" s="828">
        <f t="shared" si="1"/>
        <v>0</v>
      </c>
    </row>
    <row r="107" spans="1:6" s="10" customFormat="1" ht="30" customHeight="1">
      <c r="A107" s="590" t="s">
        <v>653</v>
      </c>
      <c r="B107" s="591"/>
      <c r="C107" s="826" t="s">
        <v>654</v>
      </c>
      <c r="D107" s="827">
        <v>0</v>
      </c>
      <c r="E107" s="827">
        <v>0</v>
      </c>
      <c r="F107" s="828">
        <f t="shared" si="1"/>
        <v>0</v>
      </c>
    </row>
    <row r="108" spans="1:6" s="10" customFormat="1" ht="30" customHeight="1">
      <c r="A108" s="590" t="s">
        <v>655</v>
      </c>
      <c r="B108" s="591"/>
      <c r="C108" s="826" t="s">
        <v>656</v>
      </c>
      <c r="D108" s="827">
        <v>0</v>
      </c>
      <c r="E108" s="827">
        <v>0</v>
      </c>
      <c r="F108" s="828">
        <f t="shared" si="1"/>
        <v>0</v>
      </c>
    </row>
    <row r="109" spans="1:6" s="10" customFormat="1" ht="30" customHeight="1" thickBot="1">
      <c r="A109" s="593" t="s">
        <v>657</v>
      </c>
      <c r="B109" s="594"/>
      <c r="C109" s="598" t="s">
        <v>658</v>
      </c>
      <c r="D109" s="596">
        <v>0</v>
      </c>
      <c r="E109" s="596">
        <v>0</v>
      </c>
      <c r="F109" s="597">
        <f t="shared" si="1"/>
        <v>0</v>
      </c>
    </row>
    <row r="110" spans="1:6" s="10" customFormat="1" ht="30" customHeight="1" thickBot="1">
      <c r="A110" s="243" t="s">
        <v>659</v>
      </c>
      <c r="B110" s="244"/>
      <c r="C110" s="244"/>
      <c r="D110" s="245">
        <f>SUM(D97:D109)</f>
        <v>0</v>
      </c>
      <c r="E110" s="245">
        <f>SUM(E97:E109)</f>
        <v>0</v>
      </c>
      <c r="F110" s="245">
        <f>SUM(D110:E110)</f>
        <v>0</v>
      </c>
    </row>
    <row r="111" spans="1:6" s="10" customFormat="1" ht="30" customHeight="1" thickBot="1">
      <c r="A111" s="249"/>
      <c r="B111" s="250"/>
      <c r="C111" s="246"/>
      <c r="D111" s="247"/>
      <c r="E111" s="247"/>
      <c r="F111" s="247"/>
    </row>
    <row r="112" spans="1:6" s="161" customFormat="1" ht="30" customHeight="1" thickBot="1">
      <c r="A112" s="694" t="s">
        <v>660</v>
      </c>
      <c r="B112" s="699"/>
      <c r="C112" s="235"/>
      <c r="D112" s="241">
        <f>+D56+D92+D110</f>
        <v>1717811</v>
      </c>
      <c r="E112" s="241">
        <f>+E56+E92+E110</f>
        <v>0</v>
      </c>
      <c r="F112" s="241">
        <f>SUM(D112:E112)</f>
        <v>1717811</v>
      </c>
    </row>
    <row r="113" spans="1:6" s="10" customFormat="1" ht="116.45" customHeight="1">
      <c r="F113" s="225"/>
    </row>
    <row r="114" spans="1:6" s="59" customFormat="1" ht="30" customHeight="1" thickBot="1">
      <c r="A114" s="10"/>
      <c r="B114" s="10"/>
      <c r="C114" s="10"/>
      <c r="D114" s="10"/>
      <c r="E114" s="10"/>
      <c r="F114" s="10"/>
    </row>
    <row r="115" spans="1:6" s="59" customFormat="1" ht="111.75" customHeight="1" thickBot="1">
      <c r="A115" s="797" t="s">
        <v>714</v>
      </c>
      <c r="B115" s="798"/>
      <c r="C115" s="210" t="s">
        <v>351</v>
      </c>
      <c r="D115" s="210" t="s">
        <v>699</v>
      </c>
      <c r="E115" s="210" t="s">
        <v>700</v>
      </c>
      <c r="F115" s="210" t="s">
        <v>701</v>
      </c>
    </row>
    <row r="116" spans="1:6" s="59" customFormat="1" ht="30" customHeight="1">
      <c r="A116" s="212" t="s">
        <v>715</v>
      </c>
      <c r="B116" s="237"/>
      <c r="C116" s="238"/>
      <c r="D116" s="406">
        <v>0</v>
      </c>
      <c r="E116" s="406">
        <v>0</v>
      </c>
      <c r="F116" s="213">
        <v>0</v>
      </c>
    </row>
    <row r="117" spans="1:6" s="59" customFormat="1" ht="30" customHeight="1">
      <c r="A117" s="590" t="s">
        <v>716</v>
      </c>
      <c r="B117" s="534"/>
      <c r="C117" s="1089"/>
      <c r="D117" s="1090">
        <f>'EXHIBIT C'!H10</f>
        <v>1667182</v>
      </c>
      <c r="E117" s="827">
        <v>0</v>
      </c>
      <c r="F117" s="828">
        <f t="shared" ref="F117:F127" si="3">+D117+E117</f>
        <v>1667182</v>
      </c>
    </row>
    <row r="118" spans="1:6" s="59" customFormat="1" ht="30" customHeight="1">
      <c r="A118" s="590" t="s">
        <v>717</v>
      </c>
      <c r="B118" s="534"/>
      <c r="C118" s="1089"/>
      <c r="D118" s="1090">
        <f>'EXHIBIT C'!F19</f>
        <v>50629</v>
      </c>
      <c r="E118" s="827">
        <v>0</v>
      </c>
      <c r="F118" s="828">
        <f t="shared" si="3"/>
        <v>50629</v>
      </c>
    </row>
    <row r="119" spans="1:6" s="59" customFormat="1" ht="50.25" customHeight="1">
      <c r="A119" s="590" t="s">
        <v>718</v>
      </c>
      <c r="B119" s="534"/>
      <c r="C119" s="1089"/>
      <c r="D119" s="827">
        <v>0</v>
      </c>
      <c r="E119" s="827">
        <v>0</v>
      </c>
      <c r="F119" s="828">
        <f t="shared" si="3"/>
        <v>0</v>
      </c>
    </row>
    <row r="120" spans="1:6" s="59" customFormat="1" ht="30" customHeight="1">
      <c r="A120" s="590" t="s">
        <v>719</v>
      </c>
      <c r="B120" s="534"/>
      <c r="C120" s="1089"/>
      <c r="D120" s="827">
        <v>0</v>
      </c>
      <c r="E120" s="827">
        <v>0</v>
      </c>
      <c r="F120" s="828">
        <f t="shared" si="3"/>
        <v>0</v>
      </c>
    </row>
    <row r="121" spans="1:6" s="59" customFormat="1" ht="30" customHeight="1">
      <c r="A121" s="801" t="s">
        <v>720</v>
      </c>
      <c r="B121" s="534"/>
      <c r="C121" s="1089"/>
      <c r="D121" s="827">
        <v>0</v>
      </c>
      <c r="E121" s="827">
        <v>0</v>
      </c>
      <c r="F121" s="828">
        <f t="shared" si="3"/>
        <v>0</v>
      </c>
    </row>
    <row r="122" spans="1:6" s="59" customFormat="1" ht="30" customHeight="1">
      <c r="A122" s="590" t="s">
        <v>721</v>
      </c>
      <c r="B122" s="534"/>
      <c r="C122" s="1089"/>
      <c r="D122" s="827">
        <v>0</v>
      </c>
      <c r="E122" s="827">
        <v>0</v>
      </c>
      <c r="F122" s="828">
        <f t="shared" si="3"/>
        <v>0</v>
      </c>
    </row>
    <row r="123" spans="1:6" s="59" customFormat="1" ht="30" customHeight="1">
      <c r="A123" s="590" t="s">
        <v>722</v>
      </c>
      <c r="B123" s="534"/>
      <c r="C123" s="1089"/>
      <c r="D123" s="827">
        <v>0</v>
      </c>
      <c r="E123" s="827">
        <v>0</v>
      </c>
      <c r="F123" s="828">
        <f t="shared" si="3"/>
        <v>0</v>
      </c>
    </row>
    <row r="124" spans="1:6" s="59" customFormat="1" ht="30" customHeight="1">
      <c r="A124" s="590" t="s">
        <v>723</v>
      </c>
      <c r="B124" s="534"/>
      <c r="C124" s="1089"/>
      <c r="D124" s="827">
        <v>0</v>
      </c>
      <c r="E124" s="827">
        <v>0</v>
      </c>
      <c r="F124" s="828">
        <f t="shared" si="3"/>
        <v>0</v>
      </c>
    </row>
    <row r="125" spans="1:6" s="59" customFormat="1" ht="30" customHeight="1">
      <c r="A125" s="590" t="s">
        <v>724</v>
      </c>
      <c r="B125" s="534"/>
      <c r="C125" s="1089"/>
      <c r="D125" s="827">
        <v>0</v>
      </c>
      <c r="E125" s="827">
        <v>0</v>
      </c>
      <c r="F125" s="828">
        <f t="shared" si="3"/>
        <v>0</v>
      </c>
    </row>
    <row r="126" spans="1:6" ht="24.75" customHeight="1">
      <c r="A126" s="590" t="s">
        <v>725</v>
      </c>
      <c r="B126" s="534"/>
      <c r="C126" s="1089"/>
      <c r="D126" s="827">
        <v>0</v>
      </c>
      <c r="E126" s="827">
        <v>0</v>
      </c>
      <c r="F126" s="828">
        <f t="shared" si="3"/>
        <v>0</v>
      </c>
    </row>
    <row r="127" spans="1:6" ht="22.5" customHeight="1" thickBot="1">
      <c r="A127" s="593" t="s">
        <v>726</v>
      </c>
      <c r="B127" s="599"/>
      <c r="C127" s="600"/>
      <c r="D127" s="596">
        <v>0</v>
      </c>
      <c r="E127" s="596">
        <v>0</v>
      </c>
      <c r="F127" s="597">
        <f t="shared" si="3"/>
        <v>0</v>
      </c>
    </row>
    <row r="128" spans="1:6" ht="110.1" customHeight="1" thickBot="1">
      <c r="A128" s="694" t="s">
        <v>727</v>
      </c>
      <c r="B128" s="695"/>
      <c r="C128" s="235"/>
      <c r="D128" s="236">
        <f>SUM(D116:D127)</f>
        <v>1717811</v>
      </c>
      <c r="E128" s="1091">
        <f>SUM(E116:E127)</f>
        <v>0</v>
      </c>
      <c r="F128" s="1092">
        <f>SUM(F116:F127)</f>
        <v>1717811</v>
      </c>
    </row>
    <row r="129" spans="1:6" ht="14.1" customHeight="1">
      <c r="A129" s="226"/>
      <c r="B129" s="226"/>
      <c r="C129" s="227"/>
      <c r="D129" s="228"/>
      <c r="E129" s="228"/>
      <c r="F129" s="228"/>
    </row>
    <row r="130" spans="1:6" ht="83.25" customHeight="1">
      <c r="A130" s="749" t="s">
        <v>728</v>
      </c>
      <c r="B130" s="749"/>
      <c r="C130" s="750"/>
      <c r="D130" s="229">
        <f>D128-D112</f>
        <v>0</v>
      </c>
      <c r="E130" s="229">
        <f t="shared" ref="E130:F130" si="4">E128-E112</f>
        <v>0</v>
      </c>
      <c r="F130" s="229">
        <f t="shared" si="4"/>
        <v>0</v>
      </c>
    </row>
    <row r="131" spans="1:6" ht="30" customHeight="1">
      <c r="A131" s="226"/>
      <c r="B131" s="226"/>
      <c r="C131" s="227"/>
      <c r="D131" s="228"/>
      <c r="E131" s="228"/>
      <c r="F131" s="228"/>
    </row>
    <row r="132" spans="1:6" ht="30" customHeight="1" thickBot="1">
      <c r="A132" s="410" t="s">
        <v>729</v>
      </c>
      <c r="B132" s="10"/>
      <c r="C132" s="10"/>
      <c r="D132" s="230"/>
      <c r="E132" s="230"/>
      <c r="F132" s="231"/>
    </row>
    <row r="133" spans="1:6" ht="238.5" customHeight="1" thickBot="1">
      <c r="A133" s="881"/>
      <c r="B133" s="882"/>
      <c r="C133" s="882"/>
      <c r="D133" s="882"/>
      <c r="E133" s="882"/>
      <c r="F133" s="883"/>
    </row>
    <row r="134" spans="1:6" ht="30" customHeight="1">
      <c r="A134" s="407"/>
      <c r="B134" s="407"/>
      <c r="C134" s="407"/>
      <c r="D134" s="407"/>
      <c r="E134" s="407"/>
      <c r="F134" s="407"/>
    </row>
    <row r="135" spans="1:6" ht="30" customHeight="1" thickBot="1">
      <c r="A135" s="410" t="s">
        <v>730</v>
      </c>
      <c r="B135" s="408"/>
      <c r="C135" s="408"/>
      <c r="D135" s="230"/>
      <c r="E135" s="230"/>
      <c r="F135" s="231"/>
    </row>
    <row r="136" spans="1:6" ht="207" customHeight="1" thickBot="1">
      <c r="A136" s="881"/>
      <c r="B136" s="882"/>
      <c r="C136" s="882"/>
      <c r="D136" s="882"/>
      <c r="E136" s="882"/>
      <c r="F136" s="883"/>
    </row>
    <row r="137" spans="1:6" ht="25.35" customHeight="1">
      <c r="F137" s="233"/>
    </row>
    <row r="138" spans="1:6" ht="25.35" customHeight="1">
      <c r="F138" s="233"/>
    </row>
    <row r="139" spans="1:6" ht="25.35" customHeight="1">
      <c r="F139" s="233"/>
    </row>
    <row r="140" spans="1:6" ht="25.35" customHeight="1">
      <c r="F140" s="233"/>
    </row>
    <row r="141" spans="1:6" ht="25.35" customHeight="1">
      <c r="F141" s="233"/>
    </row>
    <row r="142" spans="1:6" ht="25.35" customHeight="1">
      <c r="E142" s="234"/>
      <c r="F142" s="233"/>
    </row>
    <row r="143" spans="1:6" ht="25.35" customHeight="1">
      <c r="E143" s="234"/>
      <c r="F143" s="233"/>
    </row>
    <row r="144" spans="1:6" ht="25.35" customHeight="1">
      <c r="E144" s="234"/>
      <c r="F144" s="233"/>
    </row>
    <row r="145" spans="6:6" ht="25.35" customHeight="1">
      <c r="F145" s="233"/>
    </row>
    <row r="146" spans="6:6" ht="25.35" customHeight="1">
      <c r="F146" s="233"/>
    </row>
    <row r="147" spans="6:6" ht="25.35" customHeight="1">
      <c r="F147" s="233"/>
    </row>
    <row r="148" spans="6:6" ht="25.35" customHeight="1">
      <c r="F148" s="233"/>
    </row>
    <row r="149" spans="6:6" ht="25.35" customHeight="1">
      <c r="F149" s="233"/>
    </row>
    <row r="150" spans="6:6" ht="25.35" customHeight="1">
      <c r="F150" s="233"/>
    </row>
    <row r="151" spans="6:6" ht="25.35" customHeight="1">
      <c r="F151" s="233"/>
    </row>
    <row r="152" spans="6:6" ht="25.35" customHeight="1">
      <c r="F152" s="233"/>
    </row>
    <row r="153" spans="6:6" ht="25.35" customHeight="1">
      <c r="F153" s="233"/>
    </row>
    <row r="154" spans="6:6" ht="25.35" customHeight="1">
      <c r="F154" s="233"/>
    </row>
    <row r="155" spans="6:6" ht="25.35" customHeight="1">
      <c r="F155" s="233"/>
    </row>
    <row r="156" spans="6:6" ht="25.35" customHeight="1">
      <c r="F156" s="233"/>
    </row>
    <row r="157" spans="6:6" ht="25.35" customHeight="1">
      <c r="F157" s="233"/>
    </row>
    <row r="158" spans="6:6" ht="25.35" customHeight="1">
      <c r="F158" s="233"/>
    </row>
    <row r="159" spans="6:6" ht="25.35" customHeight="1">
      <c r="F159" s="233"/>
    </row>
    <row r="160" spans="6:6" ht="25.35" customHeight="1">
      <c r="F160" s="233"/>
    </row>
    <row r="161" spans="6:6" ht="25.35" customHeight="1">
      <c r="F161" s="233"/>
    </row>
    <row r="162" spans="6:6" ht="25.35" customHeight="1">
      <c r="F162" s="233"/>
    </row>
    <row r="163" spans="6:6" ht="25.35" customHeight="1">
      <c r="F163" s="233"/>
    </row>
    <row r="164" spans="6:6" ht="25.35" customHeight="1">
      <c r="F164" s="233"/>
    </row>
    <row r="165" spans="6:6" ht="25.35" customHeight="1">
      <c r="F165" s="233"/>
    </row>
    <row r="166" spans="6:6" ht="25.35" customHeight="1">
      <c r="F166" s="233"/>
    </row>
    <row r="167" spans="6:6" ht="25.35" customHeight="1">
      <c r="F167" s="233"/>
    </row>
    <row r="168" spans="6:6" ht="25.35" customHeight="1">
      <c r="F168" s="233"/>
    </row>
    <row r="169" spans="6:6" ht="25.35" customHeight="1">
      <c r="F169" s="233"/>
    </row>
    <row r="170" spans="6:6" ht="25.35" customHeight="1">
      <c r="F170" s="233"/>
    </row>
    <row r="171" spans="6:6" ht="25.35" customHeight="1">
      <c r="F171" s="233"/>
    </row>
    <row r="172" spans="6:6" ht="25.35" customHeight="1">
      <c r="F172" s="233"/>
    </row>
    <row r="173" spans="6:6" ht="25.35" customHeight="1">
      <c r="F173" s="233"/>
    </row>
    <row r="174" spans="6:6" ht="25.35" customHeight="1">
      <c r="F174" s="233"/>
    </row>
    <row r="175" spans="6:6" ht="25.35" customHeight="1">
      <c r="F175" s="233"/>
    </row>
    <row r="176" spans="6:6" ht="25.35" customHeight="1">
      <c r="F176" s="233"/>
    </row>
    <row r="177" spans="6:6" ht="25.35" customHeight="1">
      <c r="F177" s="233"/>
    </row>
    <row r="178" spans="6:6" ht="25.35" customHeight="1">
      <c r="F178" s="233"/>
    </row>
    <row r="179" spans="6:6" ht="25.35" customHeight="1">
      <c r="F179" s="233"/>
    </row>
    <row r="180" spans="6:6" ht="25.35" customHeight="1">
      <c r="F180" s="233"/>
    </row>
    <row r="181" spans="6:6" ht="25.35" customHeight="1">
      <c r="F181" s="233"/>
    </row>
    <row r="182" spans="6:6" ht="25.35" customHeight="1">
      <c r="F182" s="233"/>
    </row>
    <row r="183" spans="6:6" ht="25.35" customHeight="1">
      <c r="F183" s="233"/>
    </row>
    <row r="184" spans="6:6" ht="25.35" customHeight="1">
      <c r="F184" s="233"/>
    </row>
    <row r="185" spans="6:6" ht="25.35" customHeight="1">
      <c r="F185" s="233"/>
    </row>
    <row r="186" spans="6:6" ht="25.35" customHeight="1">
      <c r="F186" s="233"/>
    </row>
    <row r="187" spans="6:6" ht="25.35" customHeight="1">
      <c r="F187" s="233"/>
    </row>
    <row r="188" spans="6:6" ht="25.35" customHeight="1">
      <c r="F188" s="233"/>
    </row>
    <row r="189" spans="6:6" ht="25.35" customHeight="1">
      <c r="F189" s="233"/>
    </row>
    <row r="190" spans="6:6" ht="25.35" customHeight="1">
      <c r="F190" s="233"/>
    </row>
    <row r="191" spans="6:6" ht="25.35" customHeight="1">
      <c r="F191" s="233"/>
    </row>
    <row r="192" spans="6:6" ht="25.35" customHeight="1">
      <c r="F192" s="233"/>
    </row>
    <row r="193" spans="6:6" ht="25.35" customHeight="1">
      <c r="F193" s="233"/>
    </row>
    <row r="194" spans="6:6" ht="25.35" customHeight="1">
      <c r="F194" s="233"/>
    </row>
    <row r="195" spans="6:6" ht="25.35" customHeight="1">
      <c r="F195" s="233"/>
    </row>
    <row r="196" spans="6:6" ht="25.35" customHeight="1">
      <c r="F196" s="233"/>
    </row>
    <row r="197" spans="6:6" ht="25.35" customHeight="1">
      <c r="F197" s="233"/>
    </row>
    <row r="198" spans="6:6" ht="25.35" customHeight="1">
      <c r="F198" s="233"/>
    </row>
    <row r="199" spans="6:6" ht="25.35" customHeight="1">
      <c r="F199" s="233"/>
    </row>
    <row r="200" spans="6:6" ht="25.35" customHeight="1">
      <c r="F200" s="233"/>
    </row>
    <row r="201" spans="6:6" ht="25.35" customHeight="1">
      <c r="F201" s="233"/>
    </row>
    <row r="202" spans="6:6" ht="25.35" customHeight="1">
      <c r="F202" s="233"/>
    </row>
    <row r="203" spans="6:6" ht="25.35" customHeight="1">
      <c r="F203" s="233"/>
    </row>
    <row r="204" spans="6:6" ht="25.35" customHeight="1">
      <c r="F204" s="233"/>
    </row>
    <row r="205" spans="6:6" ht="25.35" customHeight="1">
      <c r="F205" s="233"/>
    </row>
    <row r="206" spans="6:6" ht="25.35" customHeight="1">
      <c r="F206" s="233"/>
    </row>
    <row r="207" spans="6:6" ht="25.35" customHeight="1">
      <c r="F207" s="233"/>
    </row>
    <row r="208" spans="6:6" ht="25.35" customHeight="1">
      <c r="F208" s="233"/>
    </row>
    <row r="209" spans="6:6" ht="25.35" customHeight="1">
      <c r="F209" s="233"/>
    </row>
    <row r="210" spans="6:6" ht="25.35" customHeight="1">
      <c r="F210" s="233"/>
    </row>
    <row r="211" spans="6:6" ht="25.35" customHeight="1">
      <c r="F211" s="233"/>
    </row>
    <row r="212" spans="6:6" ht="25.35" customHeight="1">
      <c r="F212" s="233"/>
    </row>
    <row r="213" spans="6:6" ht="25.35" customHeight="1">
      <c r="F213" s="233"/>
    </row>
    <row r="214" spans="6:6" ht="25.35" customHeight="1">
      <c r="F214" s="233"/>
    </row>
    <row r="215" spans="6:6" ht="25.35" customHeight="1">
      <c r="F215" s="233"/>
    </row>
    <row r="216" spans="6:6" ht="25.35" customHeight="1">
      <c r="F216" s="233"/>
    </row>
    <row r="217" spans="6:6" ht="25.35" customHeight="1">
      <c r="F217" s="233"/>
    </row>
    <row r="218" spans="6:6" ht="25.35" customHeight="1">
      <c r="F218" s="233"/>
    </row>
    <row r="219" spans="6:6" ht="25.35" customHeight="1">
      <c r="F219" s="233"/>
    </row>
    <row r="220" spans="6:6" ht="25.35" customHeight="1">
      <c r="F220" s="233"/>
    </row>
    <row r="221" spans="6:6" ht="25.35" customHeight="1">
      <c r="F221" s="233"/>
    </row>
    <row r="222" spans="6:6" ht="25.35" customHeight="1">
      <c r="F222" s="233"/>
    </row>
    <row r="223" spans="6:6" ht="25.35" customHeight="1">
      <c r="F223" s="233"/>
    </row>
    <row r="224" spans="6:6" ht="25.35" customHeight="1">
      <c r="F224" s="233"/>
    </row>
    <row r="225" spans="6:6" ht="25.35" customHeight="1">
      <c r="F225" s="233"/>
    </row>
    <row r="226" spans="6:6" ht="25.35" customHeight="1">
      <c r="F226" s="233"/>
    </row>
    <row r="227" spans="6:6" ht="25.35" customHeight="1">
      <c r="F227" s="233"/>
    </row>
    <row r="228" spans="6:6" ht="25.35" customHeight="1">
      <c r="F228" s="233"/>
    </row>
    <row r="229" spans="6:6" ht="25.35" customHeight="1">
      <c r="F229" s="233"/>
    </row>
    <row r="230" spans="6:6" ht="25.35" customHeight="1">
      <c r="F230" s="233"/>
    </row>
    <row r="231" spans="6:6" ht="25.35" customHeight="1">
      <c r="F231" s="233"/>
    </row>
    <row r="232" spans="6:6" ht="25.35" customHeight="1">
      <c r="F232" s="233"/>
    </row>
    <row r="233" spans="6:6" ht="25.35" customHeight="1">
      <c r="F233" s="233"/>
    </row>
    <row r="234" spans="6:6" ht="25.35" customHeight="1">
      <c r="F234" s="233"/>
    </row>
    <row r="235" spans="6:6" ht="25.35" customHeight="1">
      <c r="F235" s="233"/>
    </row>
    <row r="236" spans="6:6" ht="25.35" customHeight="1">
      <c r="F236" s="233"/>
    </row>
    <row r="237" spans="6:6" ht="25.35" customHeight="1">
      <c r="F237" s="233"/>
    </row>
    <row r="238" spans="6:6" ht="25.35" customHeight="1">
      <c r="F238" s="233"/>
    </row>
    <row r="239" spans="6:6" ht="25.35" customHeight="1">
      <c r="F239" s="233"/>
    </row>
    <row r="240" spans="6:6" ht="25.35" customHeight="1">
      <c r="F240" s="233"/>
    </row>
    <row r="241" spans="6:6" ht="25.35" customHeight="1">
      <c r="F241" s="233"/>
    </row>
    <row r="242" spans="6:6" ht="25.35" customHeight="1">
      <c r="F242" s="233"/>
    </row>
    <row r="243" spans="6:6" ht="25.35" customHeight="1">
      <c r="F243" s="233"/>
    </row>
    <row r="244" spans="6:6" ht="25.35" customHeight="1">
      <c r="F244" s="233"/>
    </row>
    <row r="245" spans="6:6" ht="25.35" customHeight="1">
      <c r="F245" s="233"/>
    </row>
    <row r="246" spans="6:6" ht="25.35" customHeight="1">
      <c r="F246" s="233"/>
    </row>
    <row r="247" spans="6:6" ht="25.35" customHeight="1">
      <c r="F247" s="233"/>
    </row>
    <row r="248" spans="6:6" ht="25.35" customHeight="1">
      <c r="F248" s="233"/>
    </row>
    <row r="249" spans="6:6" ht="25.35" customHeight="1">
      <c r="F249" s="233"/>
    </row>
    <row r="250" spans="6:6" ht="25.35" customHeight="1">
      <c r="F250" s="233"/>
    </row>
    <row r="251" spans="6:6" ht="25.35" customHeight="1">
      <c r="F251" s="233"/>
    </row>
    <row r="252" spans="6:6" ht="25.35" customHeight="1">
      <c r="F252" s="233"/>
    </row>
    <row r="253" spans="6:6" ht="25.35" customHeight="1">
      <c r="F253" s="233"/>
    </row>
    <row r="254" spans="6:6" ht="25.35" customHeight="1">
      <c r="F254" s="233"/>
    </row>
    <row r="255" spans="6:6" ht="25.35" customHeight="1">
      <c r="F255" s="233"/>
    </row>
    <row r="256" spans="6:6" ht="25.35" customHeight="1">
      <c r="F256" s="233"/>
    </row>
    <row r="257" spans="6:6" ht="25.35" customHeight="1">
      <c r="F257" s="233"/>
    </row>
    <row r="258" spans="6:6" ht="25.35" customHeight="1">
      <c r="F258" s="233"/>
    </row>
    <row r="259" spans="6:6" ht="25.35" customHeight="1">
      <c r="F259" s="233"/>
    </row>
    <row r="260" spans="6:6" ht="25.35" customHeight="1">
      <c r="F260" s="233"/>
    </row>
    <row r="261" spans="6:6" ht="25.35" customHeight="1">
      <c r="F261" s="233"/>
    </row>
    <row r="262" spans="6:6" ht="25.35" customHeight="1">
      <c r="F262" s="233"/>
    </row>
    <row r="263" spans="6:6" ht="25.35" customHeight="1">
      <c r="F263" s="233"/>
    </row>
    <row r="264" spans="6:6" ht="25.35" customHeight="1">
      <c r="F264" s="233"/>
    </row>
    <row r="265" spans="6:6" ht="25.35" customHeight="1">
      <c r="F265" s="233"/>
    </row>
    <row r="266" spans="6:6" ht="25.35" customHeight="1">
      <c r="F266" s="233"/>
    </row>
    <row r="267" spans="6:6" ht="25.35" customHeight="1">
      <c r="F267" s="233"/>
    </row>
    <row r="268" spans="6:6" ht="25.35" customHeight="1">
      <c r="F268" s="233"/>
    </row>
    <row r="269" spans="6:6" ht="25.35" customHeight="1">
      <c r="F269" s="233"/>
    </row>
    <row r="270" spans="6:6" ht="25.35" customHeight="1">
      <c r="F270" s="233"/>
    </row>
    <row r="271" spans="6:6" ht="25.35" customHeight="1">
      <c r="F271" s="233"/>
    </row>
    <row r="272" spans="6:6" ht="25.35" customHeight="1">
      <c r="F272" s="233"/>
    </row>
    <row r="273" spans="6:6" ht="25.35" customHeight="1">
      <c r="F273" s="233"/>
    </row>
    <row r="274" spans="6:6" ht="25.35" customHeight="1">
      <c r="F274" s="233"/>
    </row>
    <row r="275" spans="6:6" ht="25.35" customHeight="1">
      <c r="F275" s="233"/>
    </row>
    <row r="276" spans="6:6" ht="25.35" customHeight="1">
      <c r="F276" s="233"/>
    </row>
    <row r="277" spans="6:6" ht="25.35" customHeight="1">
      <c r="F277" s="233"/>
    </row>
    <row r="278" spans="6:6" ht="25.35" customHeight="1">
      <c r="F278" s="233"/>
    </row>
    <row r="279" spans="6:6" ht="25.35" customHeight="1">
      <c r="F279" s="233"/>
    </row>
    <row r="280" spans="6:6" ht="25.35" customHeight="1">
      <c r="F280" s="233"/>
    </row>
    <row r="281" spans="6:6" ht="25.35" customHeight="1">
      <c r="F281" s="233"/>
    </row>
    <row r="282" spans="6:6" ht="25.35" customHeight="1">
      <c r="F282" s="233"/>
    </row>
    <row r="283" spans="6:6" ht="25.35" customHeight="1">
      <c r="F283" s="233"/>
    </row>
    <row r="284" spans="6:6" ht="25.35" customHeight="1">
      <c r="F284" s="233"/>
    </row>
    <row r="285" spans="6:6" ht="25.35" customHeight="1">
      <c r="F285" s="233"/>
    </row>
    <row r="286" spans="6:6" ht="25.35" customHeight="1">
      <c r="F286" s="233"/>
    </row>
    <row r="287" spans="6:6" ht="25.35" customHeight="1">
      <c r="F287" s="233"/>
    </row>
    <row r="288" spans="6:6" ht="25.35" customHeight="1">
      <c r="F288" s="233"/>
    </row>
    <row r="289" spans="6:6" ht="25.35" customHeight="1">
      <c r="F289" s="233"/>
    </row>
    <row r="290" spans="6:6" ht="25.35" customHeight="1">
      <c r="F290" s="233"/>
    </row>
    <row r="291" spans="6:6" ht="25.35" customHeight="1">
      <c r="F291" s="233"/>
    </row>
    <row r="292" spans="6:6" ht="25.35" customHeight="1">
      <c r="F292" s="233"/>
    </row>
    <row r="293" spans="6:6" ht="25.35" customHeight="1">
      <c r="F293" s="233"/>
    </row>
    <row r="294" spans="6:6" ht="25.35" customHeight="1">
      <c r="F294" s="233"/>
    </row>
    <row r="295" spans="6:6" ht="25.35" customHeight="1">
      <c r="F295" s="233"/>
    </row>
    <row r="296" spans="6:6" ht="25.35" customHeight="1">
      <c r="F296" s="233"/>
    </row>
    <row r="297" spans="6:6" ht="25.35" customHeight="1">
      <c r="F297" s="233"/>
    </row>
    <row r="298" spans="6:6" ht="25.35" customHeight="1">
      <c r="F298" s="233"/>
    </row>
    <row r="299" spans="6:6" ht="25.35" customHeight="1">
      <c r="F299" s="233"/>
    </row>
    <row r="300" spans="6:6" ht="25.35" customHeight="1">
      <c r="F300" s="233"/>
    </row>
    <row r="301" spans="6:6" ht="25.35" customHeight="1">
      <c r="F301" s="233"/>
    </row>
    <row r="302" spans="6:6" ht="25.35" customHeight="1">
      <c r="F302" s="233"/>
    </row>
    <row r="303" spans="6:6" ht="25.35" customHeight="1">
      <c r="F303" s="233"/>
    </row>
    <row r="304" spans="6:6" ht="25.35" customHeight="1">
      <c r="F304" s="233"/>
    </row>
    <row r="305" spans="6:6" ht="25.35" customHeight="1">
      <c r="F305" s="233"/>
    </row>
    <row r="306" spans="6:6" ht="25.35" customHeight="1">
      <c r="F306" s="233"/>
    </row>
    <row r="307" spans="6:6" ht="25.35" customHeight="1">
      <c r="F307" s="233"/>
    </row>
    <row r="308" spans="6:6" ht="25.35" customHeight="1">
      <c r="F308" s="233"/>
    </row>
    <row r="309" spans="6:6" ht="25.35" customHeight="1">
      <c r="F309" s="233"/>
    </row>
    <row r="310" spans="6:6" ht="25.35" customHeight="1">
      <c r="F310" s="233"/>
    </row>
    <row r="311" spans="6:6" ht="25.35" customHeight="1">
      <c r="F311" s="233"/>
    </row>
    <row r="312" spans="6:6" ht="25.35" customHeight="1">
      <c r="F312" s="233"/>
    </row>
    <row r="313" spans="6:6" ht="25.35" customHeight="1">
      <c r="F313" s="233"/>
    </row>
    <row r="314" spans="6:6" ht="25.35" customHeight="1">
      <c r="F314" s="233"/>
    </row>
    <row r="315" spans="6:6" ht="25.35" customHeight="1">
      <c r="F315" s="233"/>
    </row>
    <row r="316" spans="6:6" ht="25.35" customHeight="1">
      <c r="F316" s="233"/>
    </row>
    <row r="317" spans="6:6" ht="25.35" customHeight="1">
      <c r="F317" s="233"/>
    </row>
    <row r="318" spans="6:6" ht="25.35" customHeight="1">
      <c r="F318" s="233"/>
    </row>
    <row r="319" spans="6:6" ht="25.35" customHeight="1">
      <c r="F319" s="233"/>
    </row>
    <row r="320" spans="6:6" ht="25.35" customHeight="1">
      <c r="F320" s="233"/>
    </row>
    <row r="321" spans="6:6" ht="25.35" customHeight="1">
      <c r="F321" s="233"/>
    </row>
    <row r="322" spans="6:6" ht="25.35" customHeight="1">
      <c r="F322" s="233"/>
    </row>
    <row r="323" spans="6:6" ht="25.35" customHeight="1">
      <c r="F323" s="233"/>
    </row>
    <row r="324" spans="6:6" ht="25.35" customHeight="1">
      <c r="F324" s="233"/>
    </row>
    <row r="325" spans="6:6" ht="25.35" customHeight="1">
      <c r="F325" s="233"/>
    </row>
    <row r="326" spans="6:6" ht="25.35" customHeight="1">
      <c r="F326" s="233"/>
    </row>
    <row r="327" spans="6:6" ht="25.35" customHeight="1">
      <c r="F327" s="233"/>
    </row>
    <row r="328" spans="6:6" ht="25.35" customHeight="1">
      <c r="F328" s="233"/>
    </row>
    <row r="329" spans="6:6" ht="25.35" customHeight="1">
      <c r="F329" s="233"/>
    </row>
    <row r="330" spans="6:6" ht="25.35" customHeight="1">
      <c r="F330" s="233"/>
    </row>
    <row r="331" spans="6:6" ht="25.35" customHeight="1">
      <c r="F331" s="233"/>
    </row>
    <row r="332" spans="6:6" ht="25.35" customHeight="1">
      <c r="F332" s="233"/>
    </row>
    <row r="333" spans="6:6" ht="25.35" customHeight="1">
      <c r="F333" s="233"/>
    </row>
    <row r="334" spans="6:6" ht="25.35" customHeight="1">
      <c r="F334" s="233"/>
    </row>
    <row r="335" spans="6:6" ht="25.35" customHeight="1">
      <c r="F335" s="233"/>
    </row>
    <row r="336" spans="6:6" ht="25.35" customHeight="1">
      <c r="F336" s="233"/>
    </row>
    <row r="337" spans="6:6" ht="25.35" customHeight="1">
      <c r="F337" s="233"/>
    </row>
    <row r="338" spans="6:6" ht="25.35" customHeight="1">
      <c r="F338" s="233"/>
    </row>
    <row r="339" spans="6:6" ht="25.35" customHeight="1">
      <c r="F339" s="233"/>
    </row>
    <row r="340" spans="6:6" ht="25.35" customHeight="1">
      <c r="F340" s="233"/>
    </row>
    <row r="341" spans="6:6" ht="25.35" customHeight="1">
      <c r="F341" s="233"/>
    </row>
    <row r="342" spans="6:6" ht="25.35" customHeight="1">
      <c r="F342" s="233"/>
    </row>
    <row r="343" spans="6:6" ht="25.35" customHeight="1">
      <c r="F343" s="233"/>
    </row>
    <row r="344" spans="6:6" ht="25.35" customHeight="1">
      <c r="F344" s="233"/>
    </row>
    <row r="345" spans="6:6" ht="25.35" customHeight="1">
      <c r="F345" s="233"/>
    </row>
    <row r="346" spans="6:6" ht="25.35" customHeight="1">
      <c r="F346" s="233"/>
    </row>
    <row r="347" spans="6:6" ht="25.35" customHeight="1">
      <c r="F347" s="233"/>
    </row>
    <row r="348" spans="6:6" ht="25.35" customHeight="1">
      <c r="F348" s="233"/>
    </row>
    <row r="349" spans="6:6" ht="25.35" customHeight="1">
      <c r="F349" s="233"/>
    </row>
    <row r="350" spans="6:6" ht="25.35" customHeight="1">
      <c r="F350" s="233"/>
    </row>
    <row r="351" spans="6:6" ht="25.35" customHeight="1">
      <c r="F351" s="233"/>
    </row>
    <row r="352" spans="6:6" ht="25.35" customHeight="1">
      <c r="F352" s="233"/>
    </row>
    <row r="353" spans="6:6" ht="25.35" customHeight="1">
      <c r="F353" s="233"/>
    </row>
    <row r="354" spans="6:6" ht="25.35" customHeight="1">
      <c r="F354" s="233"/>
    </row>
    <row r="355" spans="6:6" ht="25.35" customHeight="1">
      <c r="F355" s="233"/>
    </row>
    <row r="356" spans="6:6" ht="25.35" customHeight="1">
      <c r="F356" s="233"/>
    </row>
    <row r="357" spans="6:6" ht="25.35" customHeight="1">
      <c r="F357" s="233"/>
    </row>
    <row r="358" spans="6:6" ht="25.35" customHeight="1">
      <c r="F358" s="233"/>
    </row>
    <row r="359" spans="6:6" ht="25.35" customHeight="1">
      <c r="F359" s="233"/>
    </row>
    <row r="360" spans="6:6" ht="25.35" customHeight="1">
      <c r="F360" s="233"/>
    </row>
    <row r="361" spans="6:6" ht="25.35" customHeight="1">
      <c r="F361" s="233"/>
    </row>
    <row r="362" spans="6:6" ht="25.35" customHeight="1">
      <c r="F362" s="233"/>
    </row>
    <row r="363" spans="6:6" ht="25.35" customHeight="1">
      <c r="F363" s="233"/>
    </row>
    <row r="364" spans="6:6" ht="25.35" customHeight="1">
      <c r="F364" s="233"/>
    </row>
    <row r="365" spans="6:6" ht="25.35" customHeight="1">
      <c r="F365" s="233"/>
    </row>
    <row r="366" spans="6:6" ht="25.35" customHeight="1">
      <c r="F366" s="233"/>
    </row>
    <row r="367" spans="6:6" ht="25.35" customHeight="1">
      <c r="F367" s="233"/>
    </row>
    <row r="368" spans="6:6" ht="25.35" customHeight="1">
      <c r="F368" s="233"/>
    </row>
    <row r="369" spans="6:6" ht="25.35" customHeight="1">
      <c r="F369" s="233"/>
    </row>
    <row r="370" spans="6:6" ht="25.35" customHeight="1">
      <c r="F370" s="233"/>
    </row>
    <row r="371" spans="6:6" ht="25.35" customHeight="1">
      <c r="F371" s="233"/>
    </row>
    <row r="372" spans="6:6" ht="25.35" customHeight="1">
      <c r="F372" s="233"/>
    </row>
    <row r="373" spans="6:6" ht="25.35" customHeight="1">
      <c r="F373" s="233"/>
    </row>
    <row r="374" spans="6:6" ht="25.35" customHeight="1">
      <c r="F374" s="233"/>
    </row>
    <row r="375" spans="6:6" ht="25.35" customHeight="1">
      <c r="F375" s="233"/>
    </row>
    <row r="376" spans="6:6" ht="25.35" customHeight="1">
      <c r="F376" s="233"/>
    </row>
    <row r="377" spans="6:6" ht="25.35" customHeight="1">
      <c r="F377" s="233"/>
    </row>
    <row r="378" spans="6:6" ht="25.35" customHeight="1">
      <c r="F378" s="233"/>
    </row>
    <row r="379" spans="6:6" ht="25.35" customHeight="1">
      <c r="F379" s="233"/>
    </row>
    <row r="380" spans="6:6" ht="25.35" customHeight="1">
      <c r="F380" s="233"/>
    </row>
    <row r="381" spans="6:6" ht="25.35" customHeight="1">
      <c r="F381" s="233"/>
    </row>
    <row r="382" spans="6:6" ht="25.35" customHeight="1">
      <c r="F382" s="233"/>
    </row>
    <row r="383" spans="6:6" ht="25.35" customHeight="1">
      <c r="F383" s="233"/>
    </row>
    <row r="384" spans="6:6" ht="25.35" customHeight="1">
      <c r="F384" s="233"/>
    </row>
    <row r="385" spans="6:6" ht="25.35" customHeight="1">
      <c r="F385" s="233"/>
    </row>
    <row r="386" spans="6:6" ht="25.35" customHeight="1">
      <c r="F386" s="233"/>
    </row>
    <row r="387" spans="6:6" ht="25.35" customHeight="1">
      <c r="F387" s="233"/>
    </row>
    <row r="388" spans="6:6" ht="25.35" customHeight="1">
      <c r="F388" s="233"/>
    </row>
    <row r="389" spans="6:6" ht="25.35" customHeight="1">
      <c r="F389" s="233"/>
    </row>
    <row r="390" spans="6:6" ht="25.35" customHeight="1">
      <c r="F390" s="233"/>
    </row>
    <row r="391" spans="6:6" ht="25.35" customHeight="1">
      <c r="F391" s="233"/>
    </row>
    <row r="392" spans="6:6" ht="25.35" customHeight="1">
      <c r="F392" s="233"/>
    </row>
    <row r="393" spans="6:6" ht="25.35" customHeight="1">
      <c r="F393" s="233"/>
    </row>
    <row r="394" spans="6:6" ht="25.35" customHeight="1">
      <c r="F394" s="233"/>
    </row>
    <row r="395" spans="6:6" ht="25.35" customHeight="1">
      <c r="F395" s="233"/>
    </row>
    <row r="396" spans="6:6" ht="25.35" customHeight="1">
      <c r="F396" s="233"/>
    </row>
    <row r="397" spans="6:6" ht="25.35" customHeight="1">
      <c r="F397" s="233"/>
    </row>
    <row r="398" spans="6:6" ht="25.35" customHeight="1">
      <c r="F398" s="233"/>
    </row>
    <row r="399" spans="6:6" ht="25.35" customHeight="1">
      <c r="F399" s="233"/>
    </row>
    <row r="400" spans="6:6" ht="25.35" customHeight="1">
      <c r="F400" s="233"/>
    </row>
    <row r="401" spans="6:6" ht="25.35" customHeight="1">
      <c r="F401" s="233"/>
    </row>
    <row r="402" spans="6:6" ht="25.35" customHeight="1">
      <c r="F402" s="233"/>
    </row>
    <row r="403" spans="6:6" ht="25.35" customHeight="1">
      <c r="F403" s="233"/>
    </row>
    <row r="404" spans="6:6" ht="25.35" customHeight="1">
      <c r="F404" s="233"/>
    </row>
    <row r="405" spans="6:6" ht="25.35" customHeight="1">
      <c r="F405" s="233"/>
    </row>
    <row r="406" spans="6:6" ht="25.35" customHeight="1">
      <c r="F406" s="233"/>
    </row>
    <row r="407" spans="6:6" ht="25.35" customHeight="1">
      <c r="F407" s="233"/>
    </row>
    <row r="408" spans="6:6" ht="25.35" customHeight="1">
      <c r="F408" s="233"/>
    </row>
    <row r="409" spans="6:6" ht="25.35" customHeight="1">
      <c r="F409" s="233"/>
    </row>
    <row r="410" spans="6:6" ht="25.35" customHeight="1">
      <c r="F410" s="233"/>
    </row>
    <row r="411" spans="6:6" ht="25.35" customHeight="1">
      <c r="F411" s="233"/>
    </row>
    <row r="412" spans="6:6" ht="25.35" customHeight="1">
      <c r="F412" s="233"/>
    </row>
    <row r="413" spans="6:6" ht="25.35" customHeight="1">
      <c r="F413" s="233"/>
    </row>
    <row r="414" spans="6:6" ht="25.35" customHeight="1">
      <c r="F414" s="233"/>
    </row>
    <row r="415" spans="6:6" ht="25.35" customHeight="1">
      <c r="F415" s="233"/>
    </row>
    <row r="416" spans="6:6" ht="25.35" customHeight="1">
      <c r="F416" s="233"/>
    </row>
    <row r="417" spans="6:6" ht="25.35" customHeight="1">
      <c r="F417" s="233"/>
    </row>
    <row r="418" spans="6:6" ht="25.35" customHeight="1">
      <c r="F418" s="233"/>
    </row>
    <row r="419" spans="6:6" ht="25.35" customHeight="1">
      <c r="F419" s="233"/>
    </row>
    <row r="420" spans="6:6" ht="25.35" customHeight="1">
      <c r="F420" s="233"/>
    </row>
    <row r="421" spans="6:6" ht="25.35" customHeight="1">
      <c r="F421" s="233"/>
    </row>
    <row r="422" spans="6:6" ht="25.35" customHeight="1">
      <c r="F422" s="233"/>
    </row>
    <row r="423" spans="6:6" ht="25.35" customHeight="1">
      <c r="F423" s="233"/>
    </row>
    <row r="424" spans="6:6" ht="25.35" customHeight="1">
      <c r="F424" s="233"/>
    </row>
    <row r="425" spans="6:6" ht="25.35" customHeight="1">
      <c r="F425" s="233"/>
    </row>
    <row r="426" spans="6:6" ht="25.35" customHeight="1">
      <c r="F426" s="233"/>
    </row>
    <row r="427" spans="6:6" ht="25.35" customHeight="1">
      <c r="F427" s="233"/>
    </row>
    <row r="428" spans="6:6" ht="25.35" customHeight="1">
      <c r="F428" s="233"/>
    </row>
    <row r="429" spans="6:6" ht="25.35" customHeight="1">
      <c r="F429" s="233"/>
    </row>
    <row r="430" spans="6:6" ht="25.35" customHeight="1">
      <c r="F430" s="233"/>
    </row>
    <row r="431" spans="6:6" ht="25.35" customHeight="1">
      <c r="F431" s="233"/>
    </row>
    <row r="432" spans="6:6" ht="25.35" customHeight="1">
      <c r="F432" s="233"/>
    </row>
    <row r="433" spans="6:6" ht="25.35" customHeight="1">
      <c r="F433" s="233"/>
    </row>
    <row r="434" spans="6:6" ht="25.35" customHeight="1">
      <c r="F434" s="233"/>
    </row>
    <row r="435" spans="6:6" ht="25.35" customHeight="1">
      <c r="F435" s="233"/>
    </row>
    <row r="436" spans="6:6">
      <c r="F436" s="233"/>
    </row>
    <row r="437" spans="6:6">
      <c r="F437" s="233"/>
    </row>
    <row r="438" spans="6:6">
      <c r="F438" s="233"/>
    </row>
    <row r="439" spans="6:6">
      <c r="F439" s="233"/>
    </row>
    <row r="440" spans="6:6">
      <c r="F440" s="233"/>
    </row>
    <row r="441" spans="6:6">
      <c r="F441" s="233"/>
    </row>
    <row r="442" spans="6:6">
      <c r="F442" s="233"/>
    </row>
    <row r="443" spans="6:6">
      <c r="F443" s="233"/>
    </row>
    <row r="444" spans="6:6">
      <c r="F444" s="233"/>
    </row>
    <row r="445" spans="6:6">
      <c r="F445" s="233"/>
    </row>
    <row r="446" spans="6:6">
      <c r="F446" s="233"/>
    </row>
    <row r="447" spans="6:6">
      <c r="F447" s="233"/>
    </row>
    <row r="448" spans="6:6">
      <c r="F448" s="233"/>
    </row>
    <row r="449" spans="6:6">
      <c r="F449" s="233"/>
    </row>
    <row r="450" spans="6:6">
      <c r="F450" s="233"/>
    </row>
    <row r="451" spans="6:6">
      <c r="F451" s="233"/>
    </row>
    <row r="452" spans="6:6">
      <c r="F452" s="233"/>
    </row>
    <row r="453" spans="6:6">
      <c r="F453" s="233"/>
    </row>
    <row r="454" spans="6:6">
      <c r="F454" s="233"/>
    </row>
    <row r="455" spans="6:6">
      <c r="F455" s="233"/>
    </row>
    <row r="456" spans="6:6">
      <c r="F456" s="233"/>
    </row>
    <row r="457" spans="6:6">
      <c r="F457" s="233"/>
    </row>
    <row r="458" spans="6:6">
      <c r="F458" s="233"/>
    </row>
    <row r="459" spans="6:6">
      <c r="F459" s="233"/>
    </row>
    <row r="460" spans="6:6">
      <c r="F460" s="233"/>
    </row>
    <row r="461" spans="6:6">
      <c r="F461" s="233"/>
    </row>
    <row r="462" spans="6:6">
      <c r="F462" s="233"/>
    </row>
    <row r="463" spans="6:6">
      <c r="F463" s="233"/>
    </row>
    <row r="464" spans="6:6">
      <c r="F464" s="233"/>
    </row>
    <row r="465" spans="6:6">
      <c r="F465" s="233"/>
    </row>
    <row r="466" spans="6:6">
      <c r="F466" s="233"/>
    </row>
    <row r="467" spans="6:6">
      <c r="F467" s="233"/>
    </row>
    <row r="468" spans="6:6">
      <c r="F468" s="233"/>
    </row>
    <row r="469" spans="6:6">
      <c r="F469" s="233"/>
    </row>
    <row r="470" spans="6:6">
      <c r="F470" s="233"/>
    </row>
    <row r="471" spans="6:6">
      <c r="F471" s="233"/>
    </row>
    <row r="472" spans="6:6">
      <c r="F472" s="233"/>
    </row>
    <row r="473" spans="6:6">
      <c r="F473" s="233"/>
    </row>
    <row r="474" spans="6:6">
      <c r="F474" s="233"/>
    </row>
    <row r="475" spans="6:6">
      <c r="F475" s="233"/>
    </row>
    <row r="476" spans="6:6">
      <c r="F476" s="233"/>
    </row>
    <row r="477" spans="6:6">
      <c r="F477" s="233"/>
    </row>
    <row r="478" spans="6:6">
      <c r="F478" s="233"/>
    </row>
    <row r="479" spans="6:6">
      <c r="F479" s="233"/>
    </row>
    <row r="480" spans="6:6">
      <c r="F480" s="233"/>
    </row>
    <row r="481" spans="6:6">
      <c r="F481" s="233"/>
    </row>
    <row r="482" spans="6:6">
      <c r="F482" s="233"/>
    </row>
    <row r="483" spans="6:6">
      <c r="F483" s="233"/>
    </row>
    <row r="484" spans="6:6">
      <c r="F484" s="233"/>
    </row>
    <row r="485" spans="6:6">
      <c r="F485" s="233"/>
    </row>
    <row r="486" spans="6:6">
      <c r="F486" s="233"/>
    </row>
    <row r="487" spans="6:6">
      <c r="F487" s="233"/>
    </row>
    <row r="488" spans="6:6">
      <c r="F488" s="233"/>
    </row>
    <row r="489" spans="6:6">
      <c r="F489" s="233"/>
    </row>
    <row r="490" spans="6:6">
      <c r="F490" s="233"/>
    </row>
    <row r="491" spans="6:6">
      <c r="F491" s="233"/>
    </row>
    <row r="492" spans="6:6">
      <c r="F492" s="233"/>
    </row>
    <row r="493" spans="6:6">
      <c r="F493" s="233"/>
    </row>
    <row r="494" spans="6:6">
      <c r="F494" s="233"/>
    </row>
    <row r="495" spans="6:6">
      <c r="F495" s="233"/>
    </row>
    <row r="496" spans="6:6">
      <c r="F496" s="233"/>
    </row>
    <row r="497" spans="6:6">
      <c r="F497" s="233"/>
    </row>
    <row r="498" spans="6:6">
      <c r="F498" s="233"/>
    </row>
    <row r="499" spans="6:6">
      <c r="F499" s="233"/>
    </row>
    <row r="500" spans="6:6">
      <c r="F500" s="233"/>
    </row>
    <row r="501" spans="6:6">
      <c r="F501" s="233"/>
    </row>
    <row r="502" spans="6:6">
      <c r="F502" s="233"/>
    </row>
    <row r="503" spans="6:6">
      <c r="F503" s="233"/>
    </row>
    <row r="504" spans="6:6">
      <c r="F504" s="233"/>
    </row>
    <row r="505" spans="6:6">
      <c r="F505" s="233"/>
    </row>
    <row r="506" spans="6:6">
      <c r="F506" s="233"/>
    </row>
    <row r="507" spans="6:6">
      <c r="F507" s="233"/>
    </row>
    <row r="508" spans="6:6">
      <c r="F508" s="233"/>
    </row>
    <row r="509" spans="6:6">
      <c r="F509" s="233"/>
    </row>
    <row r="510" spans="6:6">
      <c r="F510" s="233"/>
    </row>
    <row r="511" spans="6:6">
      <c r="F511" s="233"/>
    </row>
    <row r="512" spans="6:6">
      <c r="F512" s="233"/>
    </row>
    <row r="513" spans="6:6">
      <c r="F513" s="233"/>
    </row>
    <row r="514" spans="6:6">
      <c r="F514" s="233"/>
    </row>
    <row r="515" spans="6:6">
      <c r="F515" s="233"/>
    </row>
    <row r="516" spans="6:6">
      <c r="F516" s="233"/>
    </row>
    <row r="517" spans="6:6">
      <c r="F517" s="233"/>
    </row>
    <row r="518" spans="6:6">
      <c r="F518" s="233"/>
    </row>
    <row r="519" spans="6:6">
      <c r="F519" s="233"/>
    </row>
    <row r="520" spans="6:6">
      <c r="F520" s="233"/>
    </row>
    <row r="521" spans="6:6">
      <c r="F521" s="233"/>
    </row>
    <row r="522" spans="6:6">
      <c r="F522" s="233"/>
    </row>
    <row r="523" spans="6:6">
      <c r="F523" s="233"/>
    </row>
    <row r="524" spans="6:6">
      <c r="F524" s="233"/>
    </row>
    <row r="525" spans="6:6">
      <c r="F525" s="233"/>
    </row>
    <row r="526" spans="6:6">
      <c r="F526" s="233"/>
    </row>
    <row r="527" spans="6:6">
      <c r="F527" s="233"/>
    </row>
    <row r="528" spans="6:6">
      <c r="F528" s="233"/>
    </row>
    <row r="529" spans="6:6">
      <c r="F529" s="233"/>
    </row>
    <row r="530" spans="6:6">
      <c r="F530" s="233"/>
    </row>
    <row r="531" spans="6:6">
      <c r="F531" s="233"/>
    </row>
    <row r="532" spans="6:6">
      <c r="F532" s="233"/>
    </row>
    <row r="533" spans="6:6">
      <c r="F533" s="233"/>
    </row>
    <row r="534" spans="6:6">
      <c r="F534" s="233"/>
    </row>
    <row r="535" spans="6:6">
      <c r="F535" s="233"/>
    </row>
    <row r="536" spans="6:6">
      <c r="F536" s="233"/>
    </row>
    <row r="537" spans="6:6">
      <c r="F537" s="233"/>
    </row>
    <row r="538" spans="6:6">
      <c r="F538" s="233"/>
    </row>
    <row r="539" spans="6:6">
      <c r="F539" s="233"/>
    </row>
    <row r="540" spans="6:6">
      <c r="F540" s="233"/>
    </row>
    <row r="541" spans="6:6">
      <c r="F541" s="233"/>
    </row>
    <row r="542" spans="6:6">
      <c r="F542" s="233"/>
    </row>
    <row r="543" spans="6:6">
      <c r="F543" s="233"/>
    </row>
    <row r="544" spans="6:6">
      <c r="F544" s="233"/>
    </row>
    <row r="545" spans="6:6">
      <c r="F545" s="233"/>
    </row>
    <row r="546" spans="6:6">
      <c r="F546" s="233"/>
    </row>
    <row r="547" spans="6:6">
      <c r="F547" s="233"/>
    </row>
    <row r="548" spans="6:6">
      <c r="F548" s="233"/>
    </row>
    <row r="549" spans="6:6">
      <c r="F549" s="233"/>
    </row>
    <row r="550" spans="6:6">
      <c r="F550" s="233"/>
    </row>
    <row r="551" spans="6:6">
      <c r="F551" s="233"/>
    </row>
    <row r="552" spans="6:6">
      <c r="F552" s="233"/>
    </row>
    <row r="553" spans="6:6">
      <c r="F553" s="233"/>
    </row>
    <row r="554" spans="6:6">
      <c r="F554" s="233"/>
    </row>
    <row r="555" spans="6:6">
      <c r="F555" s="233"/>
    </row>
    <row r="556" spans="6:6">
      <c r="F556" s="233"/>
    </row>
    <row r="557" spans="6:6">
      <c r="F557" s="233"/>
    </row>
    <row r="558" spans="6:6">
      <c r="F558" s="233"/>
    </row>
    <row r="559" spans="6:6">
      <c r="F559" s="233"/>
    </row>
    <row r="560" spans="6:6">
      <c r="F560" s="233"/>
    </row>
    <row r="561" spans="6:6">
      <c r="F561" s="233"/>
    </row>
    <row r="562" spans="6:6">
      <c r="F562" s="233"/>
    </row>
    <row r="563" spans="6:6">
      <c r="F563" s="233"/>
    </row>
    <row r="564" spans="6:6">
      <c r="F564" s="233"/>
    </row>
    <row r="565" spans="6:6">
      <c r="F565" s="233"/>
    </row>
    <row r="566" spans="6:6">
      <c r="F566" s="233"/>
    </row>
    <row r="567" spans="6:6">
      <c r="F567" s="233"/>
    </row>
    <row r="568" spans="6:6">
      <c r="F568" s="233"/>
    </row>
    <row r="569" spans="6:6">
      <c r="F569" s="233"/>
    </row>
    <row r="570" spans="6:6">
      <c r="F570" s="233"/>
    </row>
    <row r="571" spans="6:6">
      <c r="F571" s="233"/>
    </row>
    <row r="572" spans="6:6">
      <c r="F572" s="233"/>
    </row>
    <row r="573" spans="6:6">
      <c r="F573" s="233"/>
    </row>
    <row r="574" spans="6:6">
      <c r="F574" s="233"/>
    </row>
    <row r="575" spans="6:6">
      <c r="F575" s="233"/>
    </row>
    <row r="576" spans="6:6">
      <c r="F576" s="233"/>
    </row>
    <row r="577" spans="6:6">
      <c r="F577" s="233"/>
    </row>
    <row r="578" spans="6:6">
      <c r="F578" s="233"/>
    </row>
    <row r="579" spans="6:6">
      <c r="F579" s="233"/>
    </row>
    <row r="580" spans="6:6">
      <c r="F580" s="233"/>
    </row>
    <row r="581" spans="6:6">
      <c r="F581" s="233"/>
    </row>
    <row r="582" spans="6:6">
      <c r="F582" s="233"/>
    </row>
    <row r="583" spans="6:6">
      <c r="F583" s="233"/>
    </row>
    <row r="584" spans="6:6">
      <c r="F584" s="233"/>
    </row>
    <row r="585" spans="6:6">
      <c r="F585" s="233"/>
    </row>
    <row r="586" spans="6:6">
      <c r="F586" s="233"/>
    </row>
    <row r="587" spans="6:6">
      <c r="F587" s="233"/>
    </row>
    <row r="588" spans="6:6">
      <c r="F588" s="233"/>
    </row>
    <row r="589" spans="6:6">
      <c r="F589" s="233"/>
    </row>
    <row r="590" spans="6:6">
      <c r="F590" s="233"/>
    </row>
    <row r="591" spans="6:6">
      <c r="F591" s="233"/>
    </row>
    <row r="592" spans="6:6">
      <c r="F592" s="233"/>
    </row>
    <row r="593" spans="6:6">
      <c r="F593" s="233"/>
    </row>
    <row r="594" spans="6:6">
      <c r="F594" s="233"/>
    </row>
    <row r="595" spans="6:6">
      <c r="F595" s="233"/>
    </row>
    <row r="596" spans="6:6">
      <c r="F596" s="233"/>
    </row>
    <row r="597" spans="6:6">
      <c r="F597" s="233"/>
    </row>
    <row r="598" spans="6:6">
      <c r="F598" s="233"/>
    </row>
    <row r="599" spans="6:6">
      <c r="F599" s="233"/>
    </row>
    <row r="600" spans="6:6">
      <c r="F600" s="233"/>
    </row>
    <row r="601" spans="6:6">
      <c r="F601" s="233"/>
    </row>
    <row r="602" spans="6:6">
      <c r="F602" s="233"/>
    </row>
    <row r="603" spans="6:6">
      <c r="F603" s="233"/>
    </row>
    <row r="604" spans="6:6">
      <c r="F604" s="233"/>
    </row>
    <row r="605" spans="6:6">
      <c r="F605" s="233"/>
    </row>
    <row r="606" spans="6:6">
      <c r="F606" s="233"/>
    </row>
    <row r="607" spans="6:6">
      <c r="F607" s="233"/>
    </row>
    <row r="608" spans="6:6">
      <c r="F608" s="233"/>
    </row>
    <row r="609" spans="6:6">
      <c r="F609" s="233"/>
    </row>
    <row r="610" spans="6:6">
      <c r="F610" s="233"/>
    </row>
    <row r="611" spans="6:6">
      <c r="F611" s="233"/>
    </row>
    <row r="612" spans="6:6">
      <c r="F612" s="233"/>
    </row>
    <row r="613" spans="6:6">
      <c r="F613" s="233"/>
    </row>
    <row r="614" spans="6:6">
      <c r="F614" s="233"/>
    </row>
    <row r="615" spans="6:6">
      <c r="F615" s="233"/>
    </row>
    <row r="616" spans="6:6">
      <c r="F616" s="233"/>
    </row>
    <row r="617" spans="6:6">
      <c r="F617" s="233"/>
    </row>
    <row r="618" spans="6:6">
      <c r="F618" s="233"/>
    </row>
    <row r="619" spans="6:6">
      <c r="F619" s="233"/>
    </row>
    <row r="620" spans="6:6">
      <c r="F620" s="233"/>
    </row>
    <row r="621" spans="6:6">
      <c r="F621" s="233"/>
    </row>
    <row r="622" spans="6:6">
      <c r="F622" s="233"/>
    </row>
    <row r="623" spans="6:6">
      <c r="F623" s="233"/>
    </row>
    <row r="624" spans="6:6">
      <c r="F624" s="233"/>
    </row>
    <row r="625" spans="6:6">
      <c r="F625" s="233"/>
    </row>
    <row r="626" spans="6:6">
      <c r="F626" s="233"/>
    </row>
    <row r="627" spans="6:6">
      <c r="F627" s="233"/>
    </row>
    <row r="628" spans="6:6">
      <c r="F628" s="233"/>
    </row>
    <row r="629" spans="6:6">
      <c r="F629" s="233"/>
    </row>
    <row r="630" spans="6:6">
      <c r="F630" s="233"/>
    </row>
    <row r="631" spans="6:6">
      <c r="F631" s="233"/>
    </row>
    <row r="632" spans="6:6">
      <c r="F632" s="233"/>
    </row>
    <row r="633" spans="6:6">
      <c r="F633" s="233"/>
    </row>
    <row r="634" spans="6:6">
      <c r="F634" s="233"/>
    </row>
    <row r="635" spans="6:6">
      <c r="F635" s="233"/>
    </row>
    <row r="636" spans="6:6">
      <c r="F636" s="233"/>
    </row>
    <row r="637" spans="6:6">
      <c r="F637" s="233"/>
    </row>
    <row r="638" spans="6:6">
      <c r="F638" s="233"/>
    </row>
    <row r="639" spans="6:6">
      <c r="F639" s="233"/>
    </row>
    <row r="640" spans="6:6">
      <c r="F640" s="233"/>
    </row>
    <row r="641" spans="6:6">
      <c r="F641" s="233"/>
    </row>
    <row r="642" spans="6:6">
      <c r="F642" s="233"/>
    </row>
    <row r="643" spans="6:6">
      <c r="F643" s="233"/>
    </row>
    <row r="644" spans="6:6">
      <c r="F644" s="233"/>
    </row>
    <row r="645" spans="6:6">
      <c r="F645" s="233"/>
    </row>
    <row r="646" spans="6:6">
      <c r="F646" s="233"/>
    </row>
    <row r="647" spans="6:6">
      <c r="F647" s="233"/>
    </row>
    <row r="648" spans="6:6">
      <c r="F648" s="233"/>
    </row>
    <row r="649" spans="6:6">
      <c r="F649" s="233"/>
    </row>
    <row r="650" spans="6:6">
      <c r="F650" s="233"/>
    </row>
    <row r="651" spans="6:6">
      <c r="F651" s="233"/>
    </row>
    <row r="652" spans="6:6">
      <c r="F652" s="233"/>
    </row>
    <row r="653" spans="6:6">
      <c r="F653" s="233"/>
    </row>
    <row r="654" spans="6:6">
      <c r="F654" s="233"/>
    </row>
    <row r="655" spans="6:6">
      <c r="F655" s="233"/>
    </row>
    <row r="656" spans="6:6">
      <c r="F656" s="233"/>
    </row>
    <row r="657" spans="6:6">
      <c r="F657" s="233"/>
    </row>
    <row r="658" spans="6:6">
      <c r="F658" s="233"/>
    </row>
    <row r="659" spans="6:6">
      <c r="F659" s="233"/>
    </row>
    <row r="660" spans="6:6">
      <c r="F660" s="233"/>
    </row>
    <row r="661" spans="6:6">
      <c r="F661" s="233"/>
    </row>
    <row r="662" spans="6:6">
      <c r="F662" s="233"/>
    </row>
    <row r="663" spans="6:6">
      <c r="F663" s="233"/>
    </row>
    <row r="664" spans="6:6">
      <c r="F664" s="233"/>
    </row>
    <row r="665" spans="6:6">
      <c r="F665" s="233"/>
    </row>
    <row r="666" spans="6:6">
      <c r="F666" s="233"/>
    </row>
    <row r="667" spans="6:6">
      <c r="F667" s="233"/>
    </row>
    <row r="668" spans="6:6">
      <c r="F668" s="233"/>
    </row>
    <row r="669" spans="6:6">
      <c r="F669" s="233"/>
    </row>
    <row r="670" spans="6:6">
      <c r="F670" s="233"/>
    </row>
    <row r="671" spans="6:6">
      <c r="F671" s="233"/>
    </row>
    <row r="672" spans="6:6">
      <c r="F672" s="233"/>
    </row>
    <row r="673" spans="6:6">
      <c r="F673" s="233"/>
    </row>
    <row r="674" spans="6:6">
      <c r="F674" s="233"/>
    </row>
    <row r="675" spans="6:6">
      <c r="F675" s="233"/>
    </row>
    <row r="676" spans="6:6">
      <c r="F676" s="233"/>
    </row>
    <row r="677" spans="6:6">
      <c r="F677" s="233"/>
    </row>
    <row r="678" spans="6:6">
      <c r="F678" s="233"/>
    </row>
    <row r="679" spans="6:6">
      <c r="F679" s="233"/>
    </row>
    <row r="680" spans="6:6">
      <c r="F680" s="233"/>
    </row>
    <row r="681" spans="6:6">
      <c r="F681" s="233"/>
    </row>
    <row r="682" spans="6:6">
      <c r="F682" s="233"/>
    </row>
    <row r="683" spans="6:6">
      <c r="F683" s="233"/>
    </row>
    <row r="684" spans="6:6">
      <c r="F684" s="233"/>
    </row>
    <row r="685" spans="6:6">
      <c r="F685" s="233"/>
    </row>
    <row r="686" spans="6:6">
      <c r="F686" s="233"/>
    </row>
    <row r="687" spans="6:6">
      <c r="F687" s="233"/>
    </row>
    <row r="688" spans="6:6">
      <c r="F688" s="233"/>
    </row>
    <row r="689" spans="6:6">
      <c r="F689" s="233"/>
    </row>
    <row r="690" spans="6:6">
      <c r="F690" s="233"/>
    </row>
    <row r="691" spans="6:6">
      <c r="F691" s="233"/>
    </row>
    <row r="692" spans="6:6">
      <c r="F692" s="233"/>
    </row>
    <row r="693" spans="6:6">
      <c r="F693" s="233"/>
    </row>
    <row r="694" spans="6:6">
      <c r="F694" s="233"/>
    </row>
    <row r="695" spans="6:6">
      <c r="F695" s="233"/>
    </row>
    <row r="696" spans="6:6">
      <c r="F696" s="233"/>
    </row>
    <row r="697" spans="6:6">
      <c r="F697" s="233"/>
    </row>
    <row r="698" spans="6:6">
      <c r="F698" s="233"/>
    </row>
    <row r="699" spans="6:6">
      <c r="F699" s="233"/>
    </row>
    <row r="700" spans="6:6">
      <c r="F700" s="233"/>
    </row>
    <row r="701" spans="6:6">
      <c r="F701" s="233"/>
    </row>
    <row r="702" spans="6:6">
      <c r="F702" s="233"/>
    </row>
    <row r="703" spans="6:6">
      <c r="F703" s="233"/>
    </row>
    <row r="704" spans="6:6">
      <c r="F704" s="233"/>
    </row>
    <row r="705" spans="6:6">
      <c r="F705" s="233"/>
    </row>
    <row r="706" spans="6:6">
      <c r="F706" s="233"/>
    </row>
    <row r="707" spans="6:6">
      <c r="F707" s="233"/>
    </row>
    <row r="708" spans="6:6">
      <c r="F708" s="233"/>
    </row>
    <row r="709" spans="6:6">
      <c r="F709" s="233"/>
    </row>
    <row r="710" spans="6:6">
      <c r="F710" s="233"/>
    </row>
    <row r="711" spans="6:6">
      <c r="F711" s="233"/>
    </row>
    <row r="712" spans="6:6">
      <c r="F712" s="233"/>
    </row>
    <row r="713" spans="6:6">
      <c r="F713" s="233"/>
    </row>
    <row r="714" spans="6:6">
      <c r="F714" s="233"/>
    </row>
    <row r="715" spans="6:6">
      <c r="F715" s="233"/>
    </row>
    <row r="716" spans="6:6">
      <c r="F716" s="233"/>
    </row>
    <row r="717" spans="6:6">
      <c r="F717" s="233"/>
    </row>
    <row r="718" spans="6:6">
      <c r="F718" s="233"/>
    </row>
    <row r="719" spans="6:6">
      <c r="F719" s="233"/>
    </row>
    <row r="720" spans="6:6">
      <c r="F720" s="233"/>
    </row>
    <row r="721" spans="6:6">
      <c r="F721" s="233"/>
    </row>
    <row r="722" spans="6:6">
      <c r="F722" s="233"/>
    </row>
    <row r="723" spans="6:6">
      <c r="F723" s="233"/>
    </row>
    <row r="724" spans="6:6">
      <c r="F724" s="233"/>
    </row>
    <row r="725" spans="6:6">
      <c r="F725" s="233"/>
    </row>
    <row r="726" spans="6:6">
      <c r="F726" s="233"/>
    </row>
    <row r="727" spans="6:6">
      <c r="F727" s="233"/>
    </row>
    <row r="728" spans="6:6">
      <c r="F728" s="233"/>
    </row>
    <row r="729" spans="6:6">
      <c r="F729" s="233"/>
    </row>
    <row r="730" spans="6:6">
      <c r="F730" s="233"/>
    </row>
    <row r="731" spans="6:6">
      <c r="F731" s="233"/>
    </row>
    <row r="732" spans="6:6">
      <c r="F732" s="233"/>
    </row>
    <row r="733" spans="6:6">
      <c r="F733" s="233"/>
    </row>
    <row r="734" spans="6:6">
      <c r="F734" s="233"/>
    </row>
    <row r="735" spans="6:6">
      <c r="F735" s="233"/>
    </row>
    <row r="736" spans="6:6">
      <c r="F736" s="233"/>
    </row>
    <row r="737" spans="6:6">
      <c r="F737" s="233"/>
    </row>
    <row r="738" spans="6:6">
      <c r="F738" s="233"/>
    </row>
    <row r="739" spans="6:6">
      <c r="F739" s="233"/>
    </row>
    <row r="740" spans="6:6">
      <c r="F740" s="233"/>
    </row>
    <row r="741" spans="6:6">
      <c r="F741" s="233"/>
    </row>
    <row r="742" spans="6:6">
      <c r="F742" s="233"/>
    </row>
    <row r="743" spans="6:6">
      <c r="F743" s="233"/>
    </row>
    <row r="744" spans="6:6">
      <c r="F744" s="233"/>
    </row>
    <row r="745" spans="6:6">
      <c r="F745" s="233"/>
    </row>
    <row r="746" spans="6:6">
      <c r="F746" s="233"/>
    </row>
    <row r="747" spans="6:6">
      <c r="F747" s="233"/>
    </row>
    <row r="748" spans="6:6">
      <c r="F748" s="233"/>
    </row>
    <row r="749" spans="6:6">
      <c r="F749" s="233"/>
    </row>
    <row r="750" spans="6:6">
      <c r="F750" s="233"/>
    </row>
    <row r="751" spans="6:6">
      <c r="F751" s="233"/>
    </row>
    <row r="752" spans="6:6">
      <c r="F752" s="233"/>
    </row>
    <row r="753" spans="6:6">
      <c r="F753" s="233"/>
    </row>
    <row r="754" spans="6:6">
      <c r="F754" s="233"/>
    </row>
    <row r="755" spans="6:6">
      <c r="F755" s="233"/>
    </row>
    <row r="756" spans="6:6">
      <c r="F756" s="233"/>
    </row>
    <row r="757" spans="6:6">
      <c r="F757" s="233"/>
    </row>
    <row r="758" spans="6:6">
      <c r="F758" s="233"/>
    </row>
    <row r="759" spans="6:6">
      <c r="F759" s="233"/>
    </row>
    <row r="760" spans="6:6">
      <c r="F760" s="233"/>
    </row>
    <row r="761" spans="6:6">
      <c r="F761" s="233"/>
    </row>
    <row r="762" spans="6:6">
      <c r="F762" s="233"/>
    </row>
    <row r="763" spans="6:6">
      <c r="F763" s="233"/>
    </row>
    <row r="764" spans="6:6">
      <c r="F764" s="233"/>
    </row>
    <row r="765" spans="6:6">
      <c r="F765" s="233"/>
    </row>
    <row r="766" spans="6:6">
      <c r="F766" s="233"/>
    </row>
    <row r="767" spans="6:6">
      <c r="F767" s="233"/>
    </row>
    <row r="768" spans="6:6">
      <c r="F768" s="233"/>
    </row>
    <row r="769" spans="6:6">
      <c r="F769" s="233"/>
    </row>
    <row r="770" spans="6:6">
      <c r="F770" s="233"/>
    </row>
    <row r="771" spans="6:6">
      <c r="F771" s="233"/>
    </row>
    <row r="772" spans="6:6">
      <c r="F772" s="233"/>
    </row>
    <row r="773" spans="6:6">
      <c r="F773" s="233"/>
    </row>
    <row r="774" spans="6:6">
      <c r="F774" s="233"/>
    </row>
    <row r="775" spans="6:6">
      <c r="F775" s="233"/>
    </row>
    <row r="776" spans="6:6">
      <c r="F776" s="233"/>
    </row>
    <row r="777" spans="6:6">
      <c r="F777" s="233"/>
    </row>
    <row r="778" spans="6:6">
      <c r="F778" s="233"/>
    </row>
    <row r="779" spans="6:6">
      <c r="F779" s="233"/>
    </row>
    <row r="780" spans="6:6">
      <c r="F780" s="233"/>
    </row>
    <row r="781" spans="6:6">
      <c r="F781" s="233"/>
    </row>
    <row r="782" spans="6:6">
      <c r="F782" s="233"/>
    </row>
    <row r="783" spans="6:6">
      <c r="F783" s="233"/>
    </row>
    <row r="784" spans="6:6">
      <c r="F784" s="233"/>
    </row>
    <row r="785" spans="6:6">
      <c r="F785" s="233"/>
    </row>
    <row r="786" spans="6:6">
      <c r="F786" s="233"/>
    </row>
    <row r="787" spans="6:6">
      <c r="F787" s="233"/>
    </row>
    <row r="788" spans="6:6">
      <c r="F788" s="233"/>
    </row>
    <row r="789" spans="6:6">
      <c r="F789" s="233"/>
    </row>
    <row r="790" spans="6:6">
      <c r="F790" s="233"/>
    </row>
    <row r="791" spans="6:6">
      <c r="F791" s="233"/>
    </row>
    <row r="792" spans="6:6">
      <c r="F792" s="233"/>
    </row>
    <row r="793" spans="6:6">
      <c r="F793" s="233"/>
    </row>
    <row r="794" spans="6:6">
      <c r="F794" s="233"/>
    </row>
    <row r="795" spans="6:6">
      <c r="F795" s="233"/>
    </row>
    <row r="796" spans="6:6">
      <c r="F796" s="233"/>
    </row>
    <row r="797" spans="6:6">
      <c r="F797" s="233"/>
    </row>
    <row r="798" spans="6:6">
      <c r="F798" s="233"/>
    </row>
    <row r="799" spans="6:6">
      <c r="F799" s="233"/>
    </row>
    <row r="800" spans="6:6">
      <c r="F800" s="233"/>
    </row>
    <row r="801" spans="6:6">
      <c r="F801" s="233"/>
    </row>
    <row r="802" spans="6:6">
      <c r="F802" s="233"/>
    </row>
    <row r="803" spans="6:6">
      <c r="F803" s="233"/>
    </row>
    <row r="804" spans="6:6">
      <c r="F804" s="233"/>
    </row>
    <row r="805" spans="6:6">
      <c r="F805" s="233"/>
    </row>
    <row r="806" spans="6:6">
      <c r="F806" s="233"/>
    </row>
    <row r="807" spans="6:6">
      <c r="F807" s="233"/>
    </row>
    <row r="808" spans="6:6">
      <c r="F808" s="233"/>
    </row>
    <row r="809" spans="6:6">
      <c r="F809" s="233"/>
    </row>
    <row r="810" spans="6:6">
      <c r="F810" s="233"/>
    </row>
    <row r="811" spans="6:6">
      <c r="F811" s="233"/>
    </row>
    <row r="812" spans="6:6">
      <c r="F812" s="233"/>
    </row>
    <row r="813" spans="6:6">
      <c r="F813" s="233"/>
    </row>
    <row r="814" spans="6:6">
      <c r="F814" s="233"/>
    </row>
    <row r="815" spans="6:6">
      <c r="F815" s="233"/>
    </row>
    <row r="816" spans="6:6">
      <c r="F816" s="233"/>
    </row>
    <row r="817" spans="6:6">
      <c r="F817" s="233"/>
    </row>
    <row r="818" spans="6:6">
      <c r="F818" s="233"/>
    </row>
    <row r="819" spans="6:6">
      <c r="F819" s="233"/>
    </row>
    <row r="820" spans="6:6">
      <c r="F820" s="233"/>
    </row>
    <row r="821" spans="6:6">
      <c r="F821" s="233"/>
    </row>
    <row r="822" spans="6:6">
      <c r="F822" s="233"/>
    </row>
    <row r="823" spans="6:6">
      <c r="F823" s="233"/>
    </row>
    <row r="824" spans="6:6">
      <c r="F824" s="233"/>
    </row>
    <row r="825" spans="6:6">
      <c r="F825" s="233"/>
    </row>
    <row r="826" spans="6:6">
      <c r="F826" s="233"/>
    </row>
    <row r="827" spans="6:6">
      <c r="F827" s="233"/>
    </row>
    <row r="828" spans="6:6">
      <c r="F828" s="233"/>
    </row>
    <row r="829" spans="6:6">
      <c r="F829" s="233"/>
    </row>
    <row r="830" spans="6:6">
      <c r="F830" s="233"/>
    </row>
    <row r="831" spans="6:6">
      <c r="F831" s="233"/>
    </row>
    <row r="832" spans="6:6">
      <c r="F832" s="233"/>
    </row>
    <row r="833" spans="6:6">
      <c r="F833" s="233"/>
    </row>
    <row r="834" spans="6:6">
      <c r="F834" s="233"/>
    </row>
    <row r="835" spans="6:6">
      <c r="F835" s="233"/>
    </row>
    <row r="836" spans="6:6">
      <c r="F836" s="233"/>
    </row>
    <row r="837" spans="6:6">
      <c r="F837" s="233"/>
    </row>
    <row r="838" spans="6:6">
      <c r="F838" s="233"/>
    </row>
    <row r="839" spans="6:6">
      <c r="F839" s="233"/>
    </row>
    <row r="840" spans="6:6">
      <c r="F840" s="233"/>
    </row>
    <row r="841" spans="6:6">
      <c r="F841" s="233"/>
    </row>
    <row r="842" spans="6:6">
      <c r="F842" s="233"/>
    </row>
    <row r="843" spans="6:6">
      <c r="F843" s="233"/>
    </row>
    <row r="844" spans="6:6">
      <c r="F844" s="233"/>
    </row>
    <row r="845" spans="6:6">
      <c r="F845" s="233"/>
    </row>
    <row r="846" spans="6:6">
      <c r="F846" s="233"/>
    </row>
    <row r="847" spans="6:6">
      <c r="F847" s="233"/>
    </row>
    <row r="848" spans="6:6">
      <c r="F848" s="233"/>
    </row>
    <row r="849" spans="6:6">
      <c r="F849" s="233"/>
    </row>
    <row r="850" spans="6:6">
      <c r="F850" s="233"/>
    </row>
    <row r="851" spans="6:6">
      <c r="F851" s="233"/>
    </row>
    <row r="852" spans="6:6">
      <c r="F852" s="233"/>
    </row>
    <row r="853" spans="6:6">
      <c r="F853" s="233"/>
    </row>
    <row r="854" spans="6:6">
      <c r="F854" s="233"/>
    </row>
    <row r="855" spans="6:6">
      <c r="F855" s="233"/>
    </row>
    <row r="856" spans="6:6">
      <c r="F856" s="233"/>
    </row>
    <row r="857" spans="6:6">
      <c r="F857" s="233"/>
    </row>
    <row r="858" spans="6:6">
      <c r="F858" s="233"/>
    </row>
    <row r="859" spans="6:6">
      <c r="F859" s="233"/>
    </row>
    <row r="860" spans="6:6">
      <c r="F860" s="233"/>
    </row>
    <row r="861" spans="6:6">
      <c r="F861" s="233"/>
    </row>
    <row r="862" spans="6:6">
      <c r="F862" s="233"/>
    </row>
    <row r="863" spans="6:6">
      <c r="F863" s="233"/>
    </row>
    <row r="864" spans="6:6">
      <c r="F864" s="233"/>
    </row>
    <row r="865" spans="6:6">
      <c r="F865" s="233"/>
    </row>
    <row r="866" spans="6:6">
      <c r="F866" s="233"/>
    </row>
    <row r="867" spans="6:6">
      <c r="F867" s="233"/>
    </row>
    <row r="868" spans="6:6">
      <c r="F868" s="233"/>
    </row>
    <row r="869" spans="6:6">
      <c r="F869" s="233"/>
    </row>
    <row r="870" spans="6:6">
      <c r="F870" s="233"/>
    </row>
    <row r="871" spans="6:6">
      <c r="F871" s="233"/>
    </row>
    <row r="872" spans="6:6">
      <c r="F872" s="233"/>
    </row>
    <row r="873" spans="6:6">
      <c r="F873" s="233"/>
    </row>
    <row r="874" spans="6:6">
      <c r="F874" s="233"/>
    </row>
    <row r="875" spans="6:6">
      <c r="F875" s="233"/>
    </row>
    <row r="876" spans="6:6">
      <c r="F876" s="233"/>
    </row>
    <row r="877" spans="6:6">
      <c r="F877" s="233"/>
    </row>
    <row r="878" spans="6:6">
      <c r="F878" s="233"/>
    </row>
    <row r="879" spans="6:6">
      <c r="F879" s="233"/>
    </row>
    <row r="880" spans="6:6">
      <c r="F880" s="233"/>
    </row>
    <row r="881" spans="6:6">
      <c r="F881" s="233"/>
    </row>
    <row r="882" spans="6:6">
      <c r="F882" s="233"/>
    </row>
    <row r="883" spans="6:6">
      <c r="F883" s="233"/>
    </row>
    <row r="884" spans="6:6">
      <c r="F884" s="233"/>
    </row>
    <row r="885" spans="6:6">
      <c r="F885" s="233"/>
    </row>
    <row r="886" spans="6:6">
      <c r="F886" s="233"/>
    </row>
    <row r="887" spans="6:6">
      <c r="F887" s="233"/>
    </row>
    <row r="888" spans="6:6">
      <c r="F888" s="233"/>
    </row>
    <row r="889" spans="6:6">
      <c r="F889" s="233"/>
    </row>
    <row r="890" spans="6:6">
      <c r="F890" s="233"/>
    </row>
    <row r="891" spans="6:6">
      <c r="F891" s="233"/>
    </row>
    <row r="892" spans="6:6">
      <c r="F892" s="233"/>
    </row>
    <row r="893" spans="6:6">
      <c r="F893" s="233"/>
    </row>
    <row r="894" spans="6:6">
      <c r="F894" s="233"/>
    </row>
    <row r="895" spans="6:6">
      <c r="F895" s="233"/>
    </row>
    <row r="896" spans="6:6">
      <c r="F896" s="233"/>
    </row>
    <row r="897" spans="6:6">
      <c r="F897" s="233"/>
    </row>
    <row r="898" spans="6:6">
      <c r="F898" s="233"/>
    </row>
    <row r="899" spans="6:6">
      <c r="F899" s="233"/>
    </row>
    <row r="900" spans="6:6">
      <c r="F900" s="233"/>
    </row>
    <row r="901" spans="6:6">
      <c r="F901" s="233"/>
    </row>
    <row r="902" spans="6:6">
      <c r="F902" s="233"/>
    </row>
    <row r="903" spans="6:6">
      <c r="F903" s="233"/>
    </row>
    <row r="904" spans="6:6">
      <c r="F904" s="233"/>
    </row>
    <row r="905" spans="6:6">
      <c r="F905" s="233"/>
    </row>
    <row r="906" spans="6:6">
      <c r="F906" s="233"/>
    </row>
    <row r="907" spans="6:6">
      <c r="F907" s="233"/>
    </row>
    <row r="908" spans="6:6">
      <c r="F908" s="233"/>
    </row>
    <row r="909" spans="6:6">
      <c r="F909" s="233"/>
    </row>
    <row r="910" spans="6:6">
      <c r="F910" s="233"/>
    </row>
    <row r="911" spans="6:6">
      <c r="F911" s="233"/>
    </row>
    <row r="912" spans="6:6">
      <c r="F912" s="233"/>
    </row>
    <row r="913" spans="6:6">
      <c r="F913" s="233"/>
    </row>
    <row r="914" spans="6:6">
      <c r="F914" s="233"/>
    </row>
    <row r="915" spans="6:6">
      <c r="F915" s="233"/>
    </row>
    <row r="916" spans="6:6">
      <c r="F916" s="233"/>
    </row>
    <row r="917" spans="6:6">
      <c r="F917" s="233"/>
    </row>
    <row r="918" spans="6:6">
      <c r="F918" s="233"/>
    </row>
    <row r="919" spans="6:6">
      <c r="F919" s="233"/>
    </row>
    <row r="920" spans="6:6">
      <c r="F920" s="233"/>
    </row>
    <row r="921" spans="6:6">
      <c r="F921" s="233"/>
    </row>
    <row r="922" spans="6:6">
      <c r="F922" s="233"/>
    </row>
    <row r="923" spans="6:6">
      <c r="F923" s="233"/>
    </row>
    <row r="924" spans="6:6">
      <c r="F924" s="233"/>
    </row>
    <row r="925" spans="6:6">
      <c r="F925" s="233"/>
    </row>
    <row r="926" spans="6:6">
      <c r="F926" s="233"/>
    </row>
    <row r="927" spans="6:6">
      <c r="F927" s="233"/>
    </row>
    <row r="928" spans="6:6">
      <c r="F928" s="233"/>
    </row>
    <row r="929" spans="6:6">
      <c r="F929" s="233"/>
    </row>
    <row r="930" spans="6:6">
      <c r="F930" s="233"/>
    </row>
    <row r="931" spans="6:6">
      <c r="F931" s="233"/>
    </row>
    <row r="932" spans="6:6">
      <c r="F932" s="233"/>
    </row>
    <row r="933" spans="6:6">
      <c r="F933" s="233"/>
    </row>
    <row r="934" spans="6:6">
      <c r="F934" s="233"/>
    </row>
    <row r="935" spans="6:6">
      <c r="F935" s="233"/>
    </row>
    <row r="936" spans="6:6">
      <c r="F936" s="233"/>
    </row>
    <row r="937" spans="6:6">
      <c r="F937" s="233"/>
    </row>
    <row r="938" spans="6:6">
      <c r="F938" s="233"/>
    </row>
    <row r="939" spans="6:6">
      <c r="F939" s="233"/>
    </row>
    <row r="940" spans="6:6">
      <c r="F940" s="233"/>
    </row>
    <row r="941" spans="6:6">
      <c r="F941" s="233"/>
    </row>
    <row r="942" spans="6:6">
      <c r="F942" s="233"/>
    </row>
    <row r="943" spans="6:6">
      <c r="F943" s="233"/>
    </row>
    <row r="944" spans="6:6">
      <c r="F944" s="233"/>
    </row>
    <row r="945" spans="6:6">
      <c r="F945" s="233"/>
    </row>
    <row r="946" spans="6:6">
      <c r="F946" s="233"/>
    </row>
    <row r="947" spans="6:6">
      <c r="F947" s="233"/>
    </row>
    <row r="948" spans="6:6">
      <c r="F948" s="233"/>
    </row>
    <row r="949" spans="6:6">
      <c r="F949" s="233"/>
    </row>
    <row r="950" spans="6:6">
      <c r="F950" s="233"/>
    </row>
    <row r="951" spans="6:6">
      <c r="F951" s="233"/>
    </row>
    <row r="952" spans="6:6">
      <c r="F952" s="233"/>
    </row>
    <row r="953" spans="6:6">
      <c r="F953" s="233"/>
    </row>
    <row r="954" spans="6:6">
      <c r="F954" s="233"/>
    </row>
    <row r="955" spans="6:6">
      <c r="F955" s="233"/>
    </row>
    <row r="956" spans="6:6">
      <c r="F956" s="233"/>
    </row>
    <row r="957" spans="6:6">
      <c r="F957" s="233"/>
    </row>
    <row r="958" spans="6:6">
      <c r="F958" s="233"/>
    </row>
    <row r="959" spans="6:6">
      <c r="F959" s="233"/>
    </row>
    <row r="960" spans="6:6">
      <c r="F960" s="233"/>
    </row>
    <row r="961" spans="6:6">
      <c r="F961" s="233"/>
    </row>
    <row r="962" spans="6:6">
      <c r="F962" s="233"/>
    </row>
    <row r="963" spans="6:6">
      <c r="F963" s="233"/>
    </row>
    <row r="964" spans="6:6">
      <c r="F964" s="233"/>
    </row>
    <row r="965" spans="6:6">
      <c r="F965" s="233"/>
    </row>
    <row r="966" spans="6:6">
      <c r="F966" s="233"/>
    </row>
    <row r="967" spans="6:6">
      <c r="F967" s="233"/>
    </row>
    <row r="968" spans="6:6">
      <c r="F968" s="233"/>
    </row>
    <row r="969" spans="6:6">
      <c r="F969" s="233"/>
    </row>
    <row r="970" spans="6:6">
      <c r="F970" s="233"/>
    </row>
    <row r="971" spans="6:6">
      <c r="F971" s="233"/>
    </row>
    <row r="972" spans="6:6">
      <c r="F972" s="233"/>
    </row>
    <row r="973" spans="6:6">
      <c r="F973" s="233"/>
    </row>
    <row r="974" spans="6:6">
      <c r="F974" s="233"/>
    </row>
    <row r="975" spans="6:6">
      <c r="F975" s="233"/>
    </row>
    <row r="976" spans="6:6">
      <c r="F976" s="233"/>
    </row>
    <row r="977" spans="6:6">
      <c r="F977" s="233"/>
    </row>
    <row r="978" spans="6:6">
      <c r="F978" s="233"/>
    </row>
    <row r="979" spans="6:6">
      <c r="F979" s="233"/>
    </row>
    <row r="980" spans="6:6">
      <c r="F980" s="233"/>
    </row>
    <row r="981" spans="6:6">
      <c r="F981" s="233"/>
    </row>
    <row r="982" spans="6:6">
      <c r="F982" s="233"/>
    </row>
    <row r="983" spans="6:6">
      <c r="F983" s="233"/>
    </row>
    <row r="984" spans="6:6">
      <c r="F984" s="233"/>
    </row>
    <row r="985" spans="6:6">
      <c r="F985" s="233"/>
    </row>
    <row r="986" spans="6:6">
      <c r="F986" s="233"/>
    </row>
    <row r="987" spans="6:6">
      <c r="F987" s="233"/>
    </row>
    <row r="988" spans="6:6">
      <c r="F988" s="233"/>
    </row>
    <row r="989" spans="6:6">
      <c r="F989" s="233"/>
    </row>
    <row r="990" spans="6:6">
      <c r="F990" s="233"/>
    </row>
    <row r="991" spans="6:6">
      <c r="F991" s="233"/>
    </row>
    <row r="992" spans="6:6">
      <c r="F992" s="233"/>
    </row>
    <row r="993" spans="6:6">
      <c r="F993" s="233"/>
    </row>
    <row r="994" spans="6:6">
      <c r="F994" s="233"/>
    </row>
    <row r="995" spans="6:6">
      <c r="F995" s="233"/>
    </row>
    <row r="996" spans="6:6">
      <c r="F996" s="233"/>
    </row>
    <row r="997" spans="6:6">
      <c r="F997" s="233"/>
    </row>
    <row r="998" spans="6:6">
      <c r="F998" s="233"/>
    </row>
    <row r="999" spans="6:6">
      <c r="F999" s="233"/>
    </row>
    <row r="1000" spans="6:6">
      <c r="F1000" s="233"/>
    </row>
    <row r="1001" spans="6:6">
      <c r="F1001" s="233"/>
    </row>
    <row r="1002" spans="6:6">
      <c r="F1002" s="233"/>
    </row>
    <row r="1003" spans="6:6">
      <c r="F1003" s="233"/>
    </row>
    <row r="1004" spans="6:6">
      <c r="F1004" s="233"/>
    </row>
    <row r="1005" spans="6:6">
      <c r="F1005" s="233"/>
    </row>
    <row r="1006" spans="6:6">
      <c r="F1006" s="233"/>
    </row>
    <row r="1007" spans="6:6">
      <c r="F1007" s="233"/>
    </row>
    <row r="1008" spans="6:6">
      <c r="F1008" s="233"/>
    </row>
    <row r="1009" spans="6:6">
      <c r="F1009" s="233"/>
    </row>
    <row r="1010" spans="6:6">
      <c r="F1010" s="233"/>
    </row>
    <row r="1011" spans="6:6">
      <c r="F1011" s="233"/>
    </row>
    <row r="1012" spans="6:6">
      <c r="F1012" s="233"/>
    </row>
    <row r="1013" spans="6:6">
      <c r="F1013" s="233"/>
    </row>
    <row r="1014" spans="6:6">
      <c r="F1014" s="233"/>
    </row>
    <row r="1015" spans="6:6">
      <c r="F1015" s="233"/>
    </row>
    <row r="1016" spans="6:6">
      <c r="F1016" s="233"/>
    </row>
    <row r="1017" spans="6:6">
      <c r="F1017" s="233"/>
    </row>
    <row r="1018" spans="6:6">
      <c r="F1018" s="233"/>
    </row>
    <row r="1019" spans="6:6">
      <c r="F1019" s="233"/>
    </row>
    <row r="1020" spans="6:6">
      <c r="F1020" s="233"/>
    </row>
    <row r="1021" spans="6:6">
      <c r="F1021" s="233"/>
    </row>
    <row r="1022" spans="6:6">
      <c r="F1022" s="233"/>
    </row>
    <row r="1023" spans="6:6">
      <c r="F1023" s="233"/>
    </row>
    <row r="1024" spans="6:6">
      <c r="F1024" s="233"/>
    </row>
    <row r="1025" spans="6:6">
      <c r="F1025" s="233"/>
    </row>
    <row r="1026" spans="6:6">
      <c r="F1026" s="233"/>
    </row>
    <row r="1027" spans="6:6">
      <c r="F1027" s="233"/>
    </row>
    <row r="1028" spans="6:6">
      <c r="F1028" s="233"/>
    </row>
    <row r="1029" spans="6:6">
      <c r="F1029" s="233"/>
    </row>
    <row r="1030" spans="6:6">
      <c r="F1030" s="233"/>
    </row>
    <row r="1031" spans="6:6">
      <c r="F1031" s="233"/>
    </row>
    <row r="1032" spans="6:6">
      <c r="F1032" s="233"/>
    </row>
    <row r="1033" spans="6:6">
      <c r="F1033" s="233"/>
    </row>
    <row r="1034" spans="6:6">
      <c r="F1034" s="233"/>
    </row>
    <row r="1035" spans="6:6">
      <c r="F1035" s="233"/>
    </row>
    <row r="1036" spans="6:6">
      <c r="F1036" s="233"/>
    </row>
    <row r="1037" spans="6:6">
      <c r="F1037" s="233"/>
    </row>
    <row r="1038" spans="6:6">
      <c r="F1038" s="233"/>
    </row>
    <row r="1039" spans="6:6">
      <c r="F1039" s="233"/>
    </row>
    <row r="1040" spans="6:6">
      <c r="F1040" s="233"/>
    </row>
    <row r="1041" spans="6:6">
      <c r="F1041" s="233"/>
    </row>
    <row r="1042" spans="6:6">
      <c r="F1042" s="233"/>
    </row>
    <row r="1043" spans="6:6">
      <c r="F1043" s="233"/>
    </row>
    <row r="1044" spans="6:6">
      <c r="F1044" s="233"/>
    </row>
    <row r="1045" spans="6:6">
      <c r="F1045" s="233"/>
    </row>
    <row r="1046" spans="6:6">
      <c r="F1046" s="233"/>
    </row>
    <row r="1047" spans="6:6">
      <c r="F1047" s="233"/>
    </row>
    <row r="1048" spans="6:6">
      <c r="F1048" s="233"/>
    </row>
    <row r="1049" spans="6:6">
      <c r="F1049" s="233"/>
    </row>
    <row r="1050" spans="6:6">
      <c r="F1050" s="233"/>
    </row>
    <row r="1051" spans="6:6">
      <c r="F1051" s="233"/>
    </row>
    <row r="1052" spans="6:6">
      <c r="F1052" s="233"/>
    </row>
    <row r="1053" spans="6:6">
      <c r="F1053" s="233"/>
    </row>
    <row r="1054" spans="6:6">
      <c r="F1054" s="233"/>
    </row>
    <row r="1055" spans="6:6">
      <c r="F1055" s="233"/>
    </row>
    <row r="1056" spans="6:6">
      <c r="F1056" s="233"/>
    </row>
    <row r="1057" spans="6:6">
      <c r="F1057" s="233"/>
    </row>
    <row r="1058" spans="6:6">
      <c r="F1058" s="233"/>
    </row>
    <row r="1059" spans="6:6">
      <c r="F1059" s="233"/>
    </row>
    <row r="1060" spans="6:6">
      <c r="F1060" s="233"/>
    </row>
    <row r="1061" spans="6:6">
      <c r="F1061" s="233"/>
    </row>
    <row r="1062" spans="6:6">
      <c r="F1062" s="233"/>
    </row>
    <row r="1063" spans="6:6">
      <c r="F1063" s="233"/>
    </row>
    <row r="1064" spans="6:6">
      <c r="F1064" s="233"/>
    </row>
    <row r="1065" spans="6:6">
      <c r="F1065" s="233"/>
    </row>
    <row r="1066" spans="6:6">
      <c r="F1066" s="233"/>
    </row>
    <row r="1067" spans="6:6">
      <c r="F1067" s="233"/>
    </row>
    <row r="1068" spans="6:6">
      <c r="F1068" s="233"/>
    </row>
    <row r="1069" spans="6:6">
      <c r="F1069" s="233"/>
    </row>
    <row r="1070" spans="6:6">
      <c r="F1070" s="233"/>
    </row>
    <row r="1071" spans="6:6">
      <c r="F1071" s="233"/>
    </row>
    <row r="1072" spans="6:6">
      <c r="F1072" s="233"/>
    </row>
    <row r="1073" spans="6:6">
      <c r="F1073" s="233"/>
    </row>
    <row r="1074" spans="6:6">
      <c r="F1074" s="233"/>
    </row>
    <row r="1075" spans="6:6">
      <c r="F1075" s="233"/>
    </row>
    <row r="1076" spans="6:6">
      <c r="F1076" s="233"/>
    </row>
    <row r="1077" spans="6:6">
      <c r="F1077" s="233"/>
    </row>
    <row r="1078" spans="6:6">
      <c r="F1078" s="233"/>
    </row>
    <row r="1079" spans="6:6">
      <c r="F1079" s="233"/>
    </row>
    <row r="1080" spans="6:6">
      <c r="F1080" s="233"/>
    </row>
    <row r="1081" spans="6:6">
      <c r="F1081" s="233"/>
    </row>
    <row r="1082" spans="6:6">
      <c r="F1082" s="233"/>
    </row>
    <row r="1083" spans="6:6">
      <c r="F1083" s="233"/>
    </row>
    <row r="1084" spans="6:6">
      <c r="F1084" s="233"/>
    </row>
    <row r="1085" spans="6:6">
      <c r="F1085" s="233"/>
    </row>
    <row r="1086" spans="6:6">
      <c r="F1086" s="233"/>
    </row>
    <row r="1087" spans="6:6">
      <c r="F1087" s="233"/>
    </row>
    <row r="1088" spans="6:6">
      <c r="F1088" s="233"/>
    </row>
    <row r="1089" spans="6:6">
      <c r="F1089" s="233"/>
    </row>
    <row r="1090" spans="6:6">
      <c r="F1090" s="233"/>
    </row>
    <row r="1091" spans="6:6">
      <c r="F1091" s="233"/>
    </row>
    <row r="1092" spans="6:6">
      <c r="F1092" s="233"/>
    </row>
    <row r="1093" spans="6:6">
      <c r="F1093" s="233"/>
    </row>
    <row r="1094" spans="6:6">
      <c r="F1094" s="233"/>
    </row>
    <row r="1095" spans="6:6">
      <c r="F1095" s="233"/>
    </row>
    <row r="1096" spans="6:6">
      <c r="F1096" s="233"/>
    </row>
    <row r="1097" spans="6:6">
      <c r="F1097" s="233"/>
    </row>
    <row r="1098" spans="6:6">
      <c r="F1098" s="233"/>
    </row>
    <row r="1099" spans="6:6">
      <c r="F1099" s="233"/>
    </row>
    <row r="1100" spans="6:6">
      <c r="F1100" s="233"/>
    </row>
    <row r="1101" spans="6:6">
      <c r="F1101" s="233"/>
    </row>
    <row r="1102" spans="6:6">
      <c r="F1102" s="233"/>
    </row>
    <row r="1103" spans="6:6">
      <c r="F1103" s="233"/>
    </row>
    <row r="1104" spans="6:6">
      <c r="F1104" s="233"/>
    </row>
    <row r="1105" spans="6:6">
      <c r="F1105" s="233"/>
    </row>
    <row r="1106" spans="6:6">
      <c r="F1106" s="233"/>
    </row>
    <row r="1107" spans="6:6">
      <c r="F1107" s="233"/>
    </row>
    <row r="1108" spans="6:6">
      <c r="F1108" s="233"/>
    </row>
    <row r="1109" spans="6:6">
      <c r="F1109" s="233"/>
    </row>
    <row r="1110" spans="6:6">
      <c r="F1110" s="233"/>
    </row>
    <row r="1111" spans="6:6">
      <c r="F1111" s="233"/>
    </row>
    <row r="1112" spans="6:6">
      <c r="F1112" s="233"/>
    </row>
    <row r="1113" spans="6:6">
      <c r="F1113" s="233"/>
    </row>
    <row r="1114" spans="6:6">
      <c r="F1114" s="233"/>
    </row>
    <row r="1115" spans="6:6">
      <c r="F1115" s="233"/>
    </row>
    <row r="1116" spans="6:6">
      <c r="F1116" s="233"/>
    </row>
    <row r="1117" spans="6:6">
      <c r="F1117" s="233"/>
    </row>
    <row r="1118" spans="6:6">
      <c r="F1118" s="233"/>
    </row>
    <row r="1119" spans="6:6">
      <c r="F1119" s="233"/>
    </row>
    <row r="1120" spans="6:6">
      <c r="F1120" s="233"/>
    </row>
    <row r="1121" spans="6:6">
      <c r="F1121" s="233"/>
    </row>
    <row r="1122" spans="6:6">
      <c r="F1122" s="233"/>
    </row>
    <row r="1123" spans="6:6">
      <c r="F1123" s="233"/>
    </row>
    <row r="1124" spans="6:6">
      <c r="F1124" s="233"/>
    </row>
    <row r="1125" spans="6:6">
      <c r="F1125" s="233"/>
    </row>
    <row r="1126" spans="6:6">
      <c r="F1126" s="233"/>
    </row>
    <row r="1127" spans="6:6">
      <c r="F1127" s="233"/>
    </row>
    <row r="1128" spans="6:6">
      <c r="F1128" s="233"/>
    </row>
    <row r="1129" spans="6:6">
      <c r="F1129" s="233"/>
    </row>
    <row r="1130" spans="6:6">
      <c r="F1130" s="233"/>
    </row>
    <row r="1131" spans="6:6">
      <c r="F1131" s="233"/>
    </row>
    <row r="1132" spans="6:6">
      <c r="F1132" s="233"/>
    </row>
    <row r="1133" spans="6:6">
      <c r="F1133" s="233"/>
    </row>
    <row r="1134" spans="6:6">
      <c r="F1134" s="233"/>
    </row>
    <row r="1135" spans="6:6">
      <c r="F1135" s="233"/>
    </row>
    <row r="1136" spans="6:6">
      <c r="F1136" s="233"/>
    </row>
    <row r="1137" spans="6:6">
      <c r="F1137" s="233"/>
    </row>
    <row r="1138" spans="6:6">
      <c r="F1138" s="233"/>
    </row>
    <row r="1139" spans="6:6">
      <c r="F1139" s="233"/>
    </row>
    <row r="1140" spans="6:6">
      <c r="F1140" s="233"/>
    </row>
    <row r="1141" spans="6:6">
      <c r="F1141" s="233"/>
    </row>
    <row r="1142" spans="6:6">
      <c r="F1142" s="233"/>
    </row>
    <row r="1143" spans="6:6">
      <c r="F1143" s="233"/>
    </row>
    <row r="1144" spans="6:6">
      <c r="F1144" s="233"/>
    </row>
    <row r="1145" spans="6:6">
      <c r="F1145" s="233"/>
    </row>
    <row r="1146" spans="6:6">
      <c r="F1146" s="233"/>
    </row>
    <row r="1147" spans="6:6">
      <c r="F1147" s="233"/>
    </row>
    <row r="1148" spans="6:6">
      <c r="F1148" s="233"/>
    </row>
    <row r="1149" spans="6:6">
      <c r="F1149" s="233"/>
    </row>
    <row r="1150" spans="6:6">
      <c r="F1150" s="233"/>
    </row>
    <row r="1151" spans="6:6">
      <c r="F1151" s="233"/>
    </row>
    <row r="1152" spans="6:6">
      <c r="F1152" s="233"/>
    </row>
    <row r="1153" spans="6:6">
      <c r="F1153" s="233"/>
    </row>
    <row r="1154" spans="6:6">
      <c r="F1154" s="233"/>
    </row>
    <row r="1155" spans="6:6">
      <c r="F1155" s="233"/>
    </row>
    <row r="1156" spans="6:6">
      <c r="F1156" s="233"/>
    </row>
    <row r="1157" spans="6:6">
      <c r="F1157" s="233"/>
    </row>
    <row r="1158" spans="6:6">
      <c r="F1158" s="233"/>
    </row>
    <row r="1159" spans="6:6">
      <c r="F1159" s="233"/>
    </row>
    <row r="1160" spans="6:6">
      <c r="F1160" s="233"/>
    </row>
    <row r="1161" spans="6:6">
      <c r="F1161" s="233"/>
    </row>
    <row r="1162" spans="6:6">
      <c r="F1162" s="233"/>
    </row>
    <row r="1163" spans="6:6">
      <c r="F1163" s="233"/>
    </row>
    <row r="1164" spans="6:6">
      <c r="F1164" s="233"/>
    </row>
    <row r="1165" spans="6:6">
      <c r="F1165" s="233"/>
    </row>
    <row r="1166" spans="6:6">
      <c r="F1166" s="233"/>
    </row>
    <row r="1167" spans="6:6">
      <c r="F1167" s="233"/>
    </row>
    <row r="1168" spans="6:6">
      <c r="F1168" s="233"/>
    </row>
    <row r="1169" spans="6:6">
      <c r="F1169" s="233"/>
    </row>
    <row r="1170" spans="6:6">
      <c r="F1170" s="233"/>
    </row>
    <row r="1171" spans="6:6">
      <c r="F1171" s="233"/>
    </row>
    <row r="1172" spans="6:6">
      <c r="F1172" s="233"/>
    </row>
    <row r="1173" spans="6:6">
      <c r="F1173" s="233"/>
    </row>
    <row r="1174" spans="6:6">
      <c r="F1174" s="233"/>
    </row>
    <row r="1175" spans="6:6">
      <c r="F1175" s="233"/>
    </row>
    <row r="1176" spans="6:6">
      <c r="F1176" s="233"/>
    </row>
    <row r="1177" spans="6:6">
      <c r="F1177" s="233"/>
    </row>
    <row r="1178" spans="6:6">
      <c r="F1178" s="233"/>
    </row>
    <row r="1179" spans="6:6">
      <c r="F1179" s="233"/>
    </row>
    <row r="1180" spans="6:6">
      <c r="F1180" s="233"/>
    </row>
    <row r="1181" spans="6:6">
      <c r="F1181" s="233"/>
    </row>
    <row r="1182" spans="6:6">
      <c r="F1182" s="233"/>
    </row>
    <row r="1183" spans="6:6">
      <c r="F1183" s="233"/>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15" zoomScale="80" zoomScaleNormal="80" zoomScaleSheetLayoutView="90" zoomScalePageLayoutView="70" workbookViewId="0">
      <selection activeCell="D28" sqref="D28"/>
    </sheetView>
  </sheetViews>
  <sheetFormatPr defaultColWidth="9.140625" defaultRowHeight="15.75"/>
  <cols>
    <col min="1" max="1" width="5.28515625" style="252" customWidth="1"/>
    <col min="2" max="2" width="84.42578125" style="252" customWidth="1"/>
    <col min="3" max="3" width="14.85546875" style="252" customWidth="1"/>
    <col min="4" max="4" width="14" style="252" customWidth="1"/>
    <col min="5" max="5" width="15.42578125" style="252" customWidth="1"/>
    <col min="6" max="6" width="9.140625" style="252"/>
    <col min="7" max="7" width="10.85546875" style="252" customWidth="1"/>
    <col min="8" max="16384" width="9.140625" style="252"/>
  </cols>
  <sheetData>
    <row r="1" spans="2:7" ht="26.25">
      <c r="B1" s="732" t="s">
        <v>10</v>
      </c>
      <c r="C1" s="732"/>
      <c r="D1" s="732"/>
      <c r="E1" s="732"/>
      <c r="F1" s="251"/>
      <c r="G1" s="251"/>
    </row>
    <row r="2" spans="2:7" ht="26.25">
      <c r="B2" s="732" t="s">
        <v>731</v>
      </c>
      <c r="C2" s="732"/>
      <c r="D2" s="732"/>
      <c r="E2" s="732"/>
      <c r="F2" s="251"/>
      <c r="G2" s="251"/>
    </row>
    <row r="3" spans="2:7" ht="21">
      <c r="B3" s="722"/>
      <c r="C3" s="722"/>
      <c r="D3" s="722"/>
      <c r="E3" s="722"/>
      <c r="F3" s="251"/>
      <c r="G3" s="251"/>
    </row>
    <row r="4" spans="2:7" ht="21.75" thickBot="1">
      <c r="B4" s="825"/>
      <c r="C4" s="825"/>
      <c r="D4" s="825"/>
      <c r="E4" s="825"/>
      <c r="F4" s="251"/>
      <c r="G4" s="251"/>
    </row>
    <row r="5" spans="2:7" ht="48" customHeight="1">
      <c r="B5" s="717" t="s">
        <v>732</v>
      </c>
      <c r="C5" s="805" t="s">
        <v>733</v>
      </c>
      <c r="D5" s="806"/>
      <c r="E5" s="807"/>
    </row>
    <row r="6" spans="2:7">
      <c r="B6" s="718"/>
      <c r="C6" s="707" t="s">
        <v>734</v>
      </c>
      <c r="D6" s="601" t="s">
        <v>735</v>
      </c>
      <c r="E6" s="602" t="s">
        <v>736</v>
      </c>
    </row>
    <row r="7" spans="2:7" ht="29.25" customHeight="1">
      <c r="B7" s="1154"/>
      <c r="C7" s="708"/>
      <c r="D7" s="603">
        <v>-0.1</v>
      </c>
      <c r="E7" s="604">
        <v>0.15</v>
      </c>
    </row>
    <row r="8" spans="2:7" ht="15" customHeight="1">
      <c r="B8" s="605" t="s">
        <v>269</v>
      </c>
      <c r="C8" s="606">
        <v>71.975999999999999</v>
      </c>
      <c r="D8" s="606">
        <v>64.78</v>
      </c>
      <c r="E8" s="607">
        <v>82.78</v>
      </c>
    </row>
    <row r="9" spans="2:7" ht="15" customHeight="1">
      <c r="B9" s="608" t="s">
        <v>737</v>
      </c>
      <c r="C9" s="609">
        <v>3.6</v>
      </c>
      <c r="D9" s="609">
        <v>3.24</v>
      </c>
      <c r="E9" s="610">
        <v>4.1399999999999997</v>
      </c>
    </row>
    <row r="10" spans="2:7" ht="15" customHeight="1">
      <c r="B10" s="608" t="s">
        <v>738</v>
      </c>
      <c r="C10" s="609">
        <v>3.6</v>
      </c>
      <c r="D10" s="609">
        <v>3.24</v>
      </c>
      <c r="E10" s="610">
        <v>4.1399999999999997</v>
      </c>
    </row>
    <row r="11" spans="2:7" ht="15" customHeight="1">
      <c r="B11" s="611" t="s">
        <v>739</v>
      </c>
      <c r="C11" s="609">
        <v>7.2</v>
      </c>
      <c r="D11" s="609">
        <v>6.48</v>
      </c>
      <c r="E11" s="610">
        <v>8.2799999999999994</v>
      </c>
      <c r="F11" s="161"/>
    </row>
    <row r="12" spans="2:7" ht="15" customHeight="1">
      <c r="B12" s="612" t="s">
        <v>740</v>
      </c>
      <c r="C12" s="613"/>
      <c r="D12" s="613"/>
      <c r="E12" s="614"/>
    </row>
    <row r="13" spans="2:7" ht="42.6" customHeight="1">
      <c r="B13" s="719" t="s">
        <v>741</v>
      </c>
      <c r="C13" s="802" t="s">
        <v>733</v>
      </c>
      <c r="D13" s="803"/>
      <c r="E13" s="804"/>
    </row>
    <row r="14" spans="2:7">
      <c r="B14" s="718"/>
      <c r="C14" s="707" t="s">
        <v>734</v>
      </c>
      <c r="D14" s="615" t="s">
        <v>735</v>
      </c>
      <c r="E14" s="616" t="s">
        <v>736</v>
      </c>
    </row>
    <row r="15" spans="2:7">
      <c r="B15" s="1154"/>
      <c r="C15" s="708"/>
      <c r="D15" s="603">
        <f>D7</f>
        <v>-0.1</v>
      </c>
      <c r="E15" s="604">
        <f>E7</f>
        <v>0.15</v>
      </c>
    </row>
    <row r="16" spans="2:7" ht="15" customHeight="1">
      <c r="B16" s="617" t="s">
        <v>269</v>
      </c>
      <c r="C16" s="609">
        <v>71.975999999999999</v>
      </c>
      <c r="D16" s="609">
        <v>64.78</v>
      </c>
      <c r="E16" s="610">
        <v>82.78</v>
      </c>
    </row>
    <row r="17" spans="2:5" ht="15" customHeight="1">
      <c r="B17" s="617" t="s">
        <v>742</v>
      </c>
      <c r="C17" s="609">
        <v>215.93799999999999</v>
      </c>
      <c r="D17" s="609">
        <v>194.35</v>
      </c>
      <c r="E17" s="610">
        <v>248.33</v>
      </c>
    </row>
    <row r="18" spans="2:5" ht="15" customHeight="1">
      <c r="B18" s="612" t="s">
        <v>743</v>
      </c>
      <c r="C18" s="609">
        <v>14.4</v>
      </c>
      <c r="D18" s="609">
        <v>12.96</v>
      </c>
      <c r="E18" s="610">
        <v>16.559999999999999</v>
      </c>
    </row>
    <row r="19" spans="2:5" ht="15" customHeight="1">
      <c r="B19" s="612" t="s">
        <v>744</v>
      </c>
      <c r="C19" s="609">
        <v>14.4</v>
      </c>
      <c r="D19" s="609">
        <v>12.96</v>
      </c>
      <c r="E19" s="610">
        <v>16.559999999999999</v>
      </c>
    </row>
    <row r="20" spans="2:5" ht="15" customHeight="1">
      <c r="B20" s="618" t="s">
        <v>745</v>
      </c>
      <c r="C20" s="609">
        <v>7.2</v>
      </c>
      <c r="D20" s="609">
        <v>6.48</v>
      </c>
      <c r="E20" s="610">
        <v>8.2799999999999994</v>
      </c>
    </row>
    <row r="21" spans="2:5" ht="15" customHeight="1" thickBot="1">
      <c r="B21" s="619" t="s">
        <v>746</v>
      </c>
      <c r="C21" s="620">
        <v>57.58</v>
      </c>
      <c r="D21" s="620">
        <v>51.83</v>
      </c>
      <c r="E21" s="621">
        <v>66.22</v>
      </c>
    </row>
    <row r="22" spans="2:5" ht="16.5" thickBot="1">
      <c r="B22" s="253"/>
    </row>
    <row r="23" spans="2:5" ht="34.35" customHeight="1">
      <c r="B23" s="720" t="s">
        <v>747</v>
      </c>
      <c r="C23" s="808" t="s">
        <v>733</v>
      </c>
      <c r="D23" s="809"/>
      <c r="E23" s="810"/>
    </row>
    <row r="24" spans="2:5">
      <c r="B24" s="721"/>
      <c r="C24" s="707" t="s">
        <v>734</v>
      </c>
      <c r="D24" s="601" t="s">
        <v>735</v>
      </c>
      <c r="E24" s="622" t="s">
        <v>736</v>
      </c>
    </row>
    <row r="25" spans="2:5">
      <c r="B25" s="1093"/>
      <c r="C25" s="708"/>
      <c r="D25" s="603">
        <v>0</v>
      </c>
      <c r="E25" s="623">
        <v>0</v>
      </c>
    </row>
    <row r="26" spans="2:5" ht="15" customHeight="1">
      <c r="B26" s="624" t="s">
        <v>269</v>
      </c>
      <c r="C26" s="609">
        <v>91.79</v>
      </c>
      <c r="D26" s="609">
        <f>ROUND(C26*(1+D25),2)</f>
        <v>91.79</v>
      </c>
      <c r="E26" s="625">
        <f>ROUND(C26*(1+E25),2)</f>
        <v>91.79</v>
      </c>
    </row>
    <row r="27" spans="2:5" ht="15" customHeight="1">
      <c r="B27" s="626" t="s">
        <v>737</v>
      </c>
      <c r="C27" s="609">
        <v>4.59</v>
      </c>
      <c r="D27" s="609">
        <v>4.59</v>
      </c>
      <c r="E27" s="625">
        <v>4.59</v>
      </c>
    </row>
    <row r="28" spans="2:5" ht="15" customHeight="1">
      <c r="B28" s="626" t="s">
        <v>738</v>
      </c>
      <c r="C28" s="609">
        <v>4.59</v>
      </c>
      <c r="D28" s="609">
        <v>4.59</v>
      </c>
      <c r="E28" s="625">
        <v>4.59</v>
      </c>
    </row>
    <row r="29" spans="2:5" ht="15" customHeight="1">
      <c r="B29" s="627" t="s">
        <v>739</v>
      </c>
      <c r="C29" s="609">
        <v>9.18</v>
      </c>
      <c r="D29" s="609">
        <v>9.18</v>
      </c>
      <c r="E29" s="625">
        <v>9.18</v>
      </c>
    </row>
    <row r="30" spans="2:5" ht="15" customHeight="1">
      <c r="B30" s="626" t="s">
        <v>748</v>
      </c>
      <c r="C30" s="613"/>
      <c r="D30" s="613"/>
      <c r="E30" s="628"/>
    </row>
    <row r="31" spans="2:5" ht="41.45" customHeight="1">
      <c r="B31" s="713" t="s">
        <v>749</v>
      </c>
      <c r="C31" s="802" t="s">
        <v>733</v>
      </c>
      <c r="D31" s="803"/>
      <c r="E31" s="811"/>
    </row>
    <row r="32" spans="2:5">
      <c r="B32" s="714"/>
      <c r="C32" s="707" t="s">
        <v>734</v>
      </c>
      <c r="D32" s="601" t="s">
        <v>735</v>
      </c>
      <c r="E32" s="622" t="s">
        <v>736</v>
      </c>
    </row>
    <row r="33" spans="2:7">
      <c r="B33" s="1094"/>
      <c r="C33" s="708"/>
      <c r="D33" s="603">
        <f>D25</f>
        <v>0</v>
      </c>
      <c r="E33" s="623">
        <f>E25</f>
        <v>0</v>
      </c>
    </row>
    <row r="34" spans="2:7" ht="15" customHeight="1">
      <c r="B34" s="624" t="s">
        <v>269</v>
      </c>
      <c r="C34" s="609">
        <v>91.79</v>
      </c>
      <c r="D34" s="609">
        <f>ROUND(C34*(1+D33),2)</f>
        <v>91.79</v>
      </c>
      <c r="E34" s="625">
        <f>ROUND(C34*(1+E33),2)</f>
        <v>91.79</v>
      </c>
    </row>
    <row r="35" spans="2:7" ht="15" customHeight="1">
      <c r="B35" s="624" t="s">
        <v>742</v>
      </c>
      <c r="C35" s="629" t="s">
        <v>750</v>
      </c>
      <c r="D35" s="629" t="s">
        <v>750</v>
      </c>
      <c r="E35" s="630" t="s">
        <v>750</v>
      </c>
    </row>
    <row r="36" spans="2:7" ht="15" customHeight="1">
      <c r="B36" s="626" t="s">
        <v>743</v>
      </c>
      <c r="C36" s="629" t="s">
        <v>750</v>
      </c>
      <c r="D36" s="629" t="s">
        <v>750</v>
      </c>
      <c r="E36" s="630" t="s">
        <v>750</v>
      </c>
    </row>
    <row r="37" spans="2:7" ht="15" customHeight="1">
      <c r="B37" s="626" t="s">
        <v>744</v>
      </c>
      <c r="C37" s="629" t="s">
        <v>750</v>
      </c>
      <c r="D37" s="629" t="s">
        <v>750</v>
      </c>
      <c r="E37" s="630" t="s">
        <v>750</v>
      </c>
    </row>
    <row r="38" spans="2:7" ht="15" customHeight="1">
      <c r="B38" s="627" t="s">
        <v>745</v>
      </c>
      <c r="C38" s="609">
        <f>C29</f>
        <v>9.18</v>
      </c>
      <c r="D38" s="609">
        <f>D29</f>
        <v>9.18</v>
      </c>
      <c r="E38" s="625">
        <f>E29</f>
        <v>9.18</v>
      </c>
    </row>
    <row r="39" spans="2:7" ht="15" customHeight="1" thickBot="1">
      <c r="B39" s="631" t="s">
        <v>746</v>
      </c>
      <c r="C39" s="632" t="s">
        <v>750</v>
      </c>
      <c r="D39" s="632" t="s">
        <v>750</v>
      </c>
      <c r="E39" s="633" t="s">
        <v>750</v>
      </c>
    </row>
    <row r="40" spans="2:7">
      <c r="B40" s="253"/>
      <c r="C40" s="254"/>
      <c r="D40" s="254"/>
      <c r="E40" s="254"/>
    </row>
    <row r="41" spans="2:7">
      <c r="B41" s="255" t="s">
        <v>751</v>
      </c>
      <c r="C41" s="256"/>
      <c r="D41" s="256"/>
      <c r="E41" s="256"/>
    </row>
    <row r="42" spans="2:7" ht="48" customHeight="1">
      <c r="B42" s="715" t="s">
        <v>752</v>
      </c>
      <c r="C42" s="715"/>
      <c r="D42" s="715"/>
      <c r="E42" s="715"/>
    </row>
    <row r="43" spans="2:7">
      <c r="B43" s="715"/>
      <c r="C43" s="715"/>
      <c r="D43" s="715"/>
      <c r="E43" s="715"/>
    </row>
    <row r="44" spans="2:7">
      <c r="B44" s="257"/>
      <c r="C44" s="257"/>
      <c r="D44" s="257"/>
      <c r="E44" s="257"/>
    </row>
    <row r="45" spans="2:7">
      <c r="B45" s="252" t="s">
        <v>753</v>
      </c>
      <c r="C45" s="257"/>
      <c r="D45" s="257"/>
      <c r="E45" s="257"/>
    </row>
    <row r="46" spans="2:7">
      <c r="B46" s="258" t="str">
        <f>"the maximum tuition rate.  Maximum credit tuition rate = "&amp;TEXT(E16,"$0.00")</f>
        <v>the maximum tuition rate.  Maximum credit tuition rate = $82.78</v>
      </c>
      <c r="C46" s="751"/>
    </row>
    <row r="47" spans="2:7">
      <c r="B47" s="258" t="s">
        <v>754</v>
      </c>
      <c r="G47" s="752"/>
    </row>
    <row r="49" spans="2:5" ht="15" customHeight="1">
      <c r="B49" s="715"/>
      <c r="C49" s="715"/>
      <c r="D49" s="715"/>
      <c r="E49" s="715"/>
    </row>
    <row r="50" spans="2:5">
      <c r="B50" s="715"/>
      <c r="C50" s="715"/>
      <c r="D50" s="715"/>
      <c r="E50" s="715"/>
    </row>
    <row r="51" spans="2:5">
      <c r="B51" s="715"/>
      <c r="C51" s="715"/>
      <c r="D51" s="715"/>
      <c r="E51" s="715"/>
    </row>
    <row r="52" spans="2:5" ht="21">
      <c r="B52" s="722" t="str">
        <f>B1</f>
        <v>THE FLORIDA COLLEGE SYSTEM</v>
      </c>
      <c r="C52" s="722"/>
      <c r="D52" s="722"/>
      <c r="E52" s="722"/>
    </row>
    <row r="53" spans="2:5" ht="21">
      <c r="B53" s="722" t="str">
        <f>B2&amp;" , cont."</f>
        <v>FALL 2026-27 TUITION INCREASED BY 0% , cont.</v>
      </c>
      <c r="C53" s="722"/>
      <c r="D53" s="722"/>
      <c r="E53" s="722"/>
    </row>
    <row r="54" spans="2:5" ht="21">
      <c r="B54" s="722"/>
      <c r="C54" s="722"/>
      <c r="D54" s="722"/>
      <c r="E54" s="722"/>
    </row>
    <row r="55" spans="2:5" ht="16.5" thickBot="1">
      <c r="B55" s="253"/>
      <c r="C55" s="254"/>
      <c r="D55" s="254"/>
      <c r="E55" s="254"/>
    </row>
    <row r="56" spans="2:5" ht="33" customHeight="1">
      <c r="B56" s="709" t="s">
        <v>755</v>
      </c>
      <c r="C56" s="808" t="s">
        <v>733</v>
      </c>
      <c r="D56" s="809"/>
      <c r="E56" s="810"/>
    </row>
    <row r="57" spans="2:5">
      <c r="B57" s="710"/>
      <c r="C57" s="707" t="s">
        <v>734</v>
      </c>
      <c r="D57" s="601" t="s">
        <v>735</v>
      </c>
      <c r="E57" s="622" t="s">
        <v>736</v>
      </c>
    </row>
    <row r="58" spans="2:5">
      <c r="B58" s="1155"/>
      <c r="C58" s="708"/>
      <c r="D58" s="603">
        <v>-0.05</v>
      </c>
      <c r="E58" s="623">
        <v>0.05</v>
      </c>
    </row>
    <row r="59" spans="2:5" ht="15" customHeight="1">
      <c r="B59" s="624" t="s">
        <v>269</v>
      </c>
      <c r="C59" s="609">
        <v>69.900000000000006</v>
      </c>
      <c r="D59" s="609">
        <f>ROUND(C59*(1+D58),2)</f>
        <v>66.41</v>
      </c>
      <c r="E59" s="625">
        <f>ROUND(C59*(1+E58),2)</f>
        <v>73.400000000000006</v>
      </c>
    </row>
    <row r="60" spans="2:5" ht="15" customHeight="1">
      <c r="B60" s="626" t="s">
        <v>756</v>
      </c>
      <c r="C60" s="609">
        <v>6.99</v>
      </c>
      <c r="D60" s="634">
        <f>ROUND(D59*'DISCRETIONARY FEE PERCENTAGES'!$B$6,2)</f>
        <v>6.64</v>
      </c>
      <c r="E60" s="625">
        <f>ROUND(E59*'DISCRETIONARY FEE PERCENTAGES'!$B$6,2)</f>
        <v>7.34</v>
      </c>
    </row>
    <row r="61" spans="2:5" ht="15" customHeight="1">
      <c r="B61" s="626" t="s">
        <v>738</v>
      </c>
      <c r="C61" s="609">
        <v>3.5</v>
      </c>
      <c r="D61" s="634">
        <f>ROUND(D59*'DISCRETIONARY FEE PERCENTAGES'!$B$25,2)</f>
        <v>3.32</v>
      </c>
      <c r="E61" s="625">
        <f>ROUND(E59*'DISCRETIONARY FEE PERCENTAGES'!$B$25,2)</f>
        <v>3.67</v>
      </c>
    </row>
    <row r="62" spans="2:5" ht="15" customHeight="1">
      <c r="B62" s="626" t="s">
        <v>757</v>
      </c>
      <c r="C62" s="609">
        <v>3.5</v>
      </c>
      <c r="D62" s="634">
        <f>ROUND(D59*'DISCRETIONARY FEE PERCENTAGES'!$B$19,2)</f>
        <v>3.32</v>
      </c>
      <c r="E62" s="625">
        <f>ROUND(E59*'DISCRETIONARY FEE PERCENTAGES'!$B$19,2)</f>
        <v>3.67</v>
      </c>
    </row>
    <row r="63" spans="2:5" ht="33" customHeight="1">
      <c r="B63" s="711" t="s">
        <v>758</v>
      </c>
      <c r="C63" s="802" t="s">
        <v>733</v>
      </c>
      <c r="D63" s="803"/>
      <c r="E63" s="811"/>
    </row>
    <row r="64" spans="2:5">
      <c r="B64" s="710"/>
      <c r="C64" s="707" t="s">
        <v>734</v>
      </c>
      <c r="D64" s="601" t="s">
        <v>735</v>
      </c>
      <c r="E64" s="622" t="s">
        <v>736</v>
      </c>
    </row>
    <row r="65" spans="2:16">
      <c r="B65" s="1155"/>
      <c r="C65" s="708"/>
      <c r="D65" s="603">
        <f>D58</f>
        <v>-0.05</v>
      </c>
      <c r="E65" s="623">
        <f>E58</f>
        <v>0.05</v>
      </c>
    </row>
    <row r="66" spans="2:16" ht="15" customHeight="1">
      <c r="B66" s="624" t="s">
        <v>269</v>
      </c>
      <c r="C66" s="609">
        <v>69.900000000000006</v>
      </c>
      <c r="D66" s="609">
        <f>ROUND(C66*(1+D65),2)</f>
        <v>66.41</v>
      </c>
      <c r="E66" s="625">
        <f>ROUND(C66*(1+E65),2)</f>
        <v>73.400000000000006</v>
      </c>
    </row>
    <row r="67" spans="2:16" ht="15" customHeight="1">
      <c r="B67" s="624" t="s">
        <v>742</v>
      </c>
      <c r="C67" s="609">
        <v>209.70000000000002</v>
      </c>
      <c r="D67" s="609">
        <f>ROUND(C67*(1+D65),2)</f>
        <v>199.22</v>
      </c>
      <c r="E67" s="625">
        <f>ROUND(C67*(1+E65),2)</f>
        <v>220.19</v>
      </c>
    </row>
    <row r="68" spans="2:16" ht="15" customHeight="1">
      <c r="B68" s="626" t="s">
        <v>759</v>
      </c>
      <c r="C68" s="609">
        <v>27.96</v>
      </c>
      <c r="D68" s="634">
        <f>ROUND((D66+D67)*'DISCRETIONARY FEE PERCENTAGES'!$B$10,2)</f>
        <v>26.56</v>
      </c>
      <c r="E68" s="625">
        <f>ROUND((E66+E67)*'DISCRETIONARY FEE PERCENTAGES'!$B$10,2)</f>
        <v>29.36</v>
      </c>
    </row>
    <row r="69" spans="2:16" ht="15" customHeight="1">
      <c r="B69" s="626" t="s">
        <v>744</v>
      </c>
      <c r="C69" s="609">
        <v>13.98</v>
      </c>
      <c r="D69" s="634">
        <f>ROUND((D66+D67)*'DISCRETIONARY FEE PERCENTAGES'!$B$28,2)</f>
        <v>13.28</v>
      </c>
      <c r="E69" s="625">
        <f>ROUND((E66+E67)*'DISCRETIONARY FEE PERCENTAGES'!$B$28,2)</f>
        <v>14.68</v>
      </c>
    </row>
    <row r="70" spans="2:16" ht="15" customHeight="1" thickBot="1">
      <c r="B70" s="631" t="s">
        <v>760</v>
      </c>
      <c r="C70" s="635">
        <v>13.98</v>
      </c>
      <c r="D70" s="636">
        <f>ROUND((D66+D67)*'DISCRETIONARY FEE PERCENTAGES'!$B$22,2)</f>
        <v>13.28</v>
      </c>
      <c r="E70" s="637">
        <f>ROUND((E66+E67)*'DISCRETIONARY FEE PERCENTAGES'!$B$22,2)</f>
        <v>14.68</v>
      </c>
    </row>
    <row r="71" spans="2:16" ht="16.5" thickBot="1">
      <c r="B71" s="253"/>
      <c r="C71" s="259"/>
      <c r="D71" s="259"/>
      <c r="E71" s="259"/>
    </row>
    <row r="72" spans="2:16" ht="32.25" customHeight="1">
      <c r="B72" s="705" t="s">
        <v>761</v>
      </c>
      <c r="C72" s="808" t="s">
        <v>762</v>
      </c>
      <c r="D72" s="809"/>
      <c r="E72" s="810"/>
    </row>
    <row r="73" spans="2:16">
      <c r="B73" s="706"/>
      <c r="C73" s="707" t="s">
        <v>734</v>
      </c>
      <c r="D73" s="601" t="s">
        <v>735</v>
      </c>
      <c r="E73" s="622" t="s">
        <v>736</v>
      </c>
    </row>
    <row r="74" spans="2:16">
      <c r="B74" s="1095"/>
      <c r="C74" s="708"/>
      <c r="D74" s="603">
        <v>-0.05</v>
      </c>
      <c r="E74" s="623">
        <v>0.05</v>
      </c>
    </row>
    <row r="75" spans="2:16" ht="15" customHeight="1">
      <c r="B75" s="624" t="s">
        <v>763</v>
      </c>
      <c r="C75" s="609">
        <v>30</v>
      </c>
      <c r="D75" s="609">
        <f>ROUND(C75*(1+D74),2)</f>
        <v>28.5</v>
      </c>
      <c r="E75" s="625">
        <f>ROUND(C75*(1+E74),2)</f>
        <v>31.5</v>
      </c>
    </row>
    <row r="76" spans="2:16" ht="15" customHeight="1">
      <c r="B76" s="624"/>
      <c r="C76" s="609"/>
      <c r="D76" s="609"/>
      <c r="E76" s="625"/>
      <c r="F76" s="716"/>
      <c r="G76" s="716"/>
      <c r="H76" s="716"/>
      <c r="I76" s="716"/>
      <c r="J76" s="716"/>
      <c r="K76" s="716"/>
      <c r="L76" s="716"/>
      <c r="M76" s="716"/>
      <c r="N76" s="716"/>
      <c r="O76" s="716"/>
      <c r="P76" s="716"/>
    </row>
    <row r="77" spans="2:16" ht="15" customHeight="1">
      <c r="B77" s="624" t="s">
        <v>764</v>
      </c>
      <c r="C77" s="609">
        <v>45</v>
      </c>
      <c r="D77" s="609">
        <f>ROUND(C77*(1+D74),2)</f>
        <v>42.75</v>
      </c>
      <c r="E77" s="638">
        <f>ROUND(C77*(1+E74),2)</f>
        <v>47.25</v>
      </c>
    </row>
    <row r="78" spans="2:16" ht="15" customHeight="1">
      <c r="C78" s="259"/>
      <c r="D78" s="259"/>
      <c r="E78" s="259"/>
      <c r="F78" s="716"/>
      <c r="G78" s="716"/>
      <c r="H78" s="716"/>
      <c r="I78" s="716"/>
      <c r="J78" s="716"/>
      <c r="K78" s="716"/>
      <c r="L78" s="716"/>
      <c r="M78" s="716"/>
      <c r="N78" s="716"/>
      <c r="O78" s="716"/>
      <c r="P78" s="716"/>
    </row>
    <row r="79" spans="2:16" ht="15" customHeight="1">
      <c r="B79" s="255" t="s">
        <v>765</v>
      </c>
      <c r="C79" s="256"/>
      <c r="D79" s="256"/>
      <c r="E79" s="256"/>
    </row>
    <row r="80" spans="2:16" ht="15" customHeight="1">
      <c r="B80" s="255"/>
      <c r="C80" s="256"/>
      <c r="D80" s="256"/>
      <c r="E80" s="256"/>
    </row>
    <row r="81" spans="2:5" ht="48" customHeight="1">
      <c r="B81" s="712" t="s">
        <v>766</v>
      </c>
      <c r="C81" s="712"/>
      <c r="D81" s="712"/>
      <c r="E81" s="712"/>
    </row>
    <row r="83" spans="2:5" ht="15" customHeight="1"/>
    <row r="85" spans="2:5">
      <c r="C85" s="753"/>
      <c r="D85" s="753"/>
      <c r="E85" s="753"/>
    </row>
    <row r="86" spans="2:5">
      <c r="C86" s="257"/>
      <c r="D86" s="257"/>
      <c r="E86" s="257"/>
    </row>
    <row r="87" spans="2:5">
      <c r="C87" s="751"/>
    </row>
    <row r="88" spans="2:5">
      <c r="C88" s="751"/>
    </row>
    <row r="91" spans="2:5">
      <c r="B91" s="161"/>
      <c r="C91" s="161"/>
      <c r="D91" s="161"/>
      <c r="E91" s="161"/>
    </row>
    <row r="92" spans="2:5">
      <c r="B92" s="161"/>
      <c r="C92" s="161"/>
      <c r="D92" s="161"/>
      <c r="E92" s="161"/>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0" customWidth="1"/>
    <col min="2" max="2" width="8.42578125" style="70" customWidth="1"/>
    <col min="3" max="3" width="57.140625" style="70" customWidth="1"/>
    <col min="4" max="4" width="5" style="70" customWidth="1"/>
    <col min="5" max="16384" width="12.42578125" style="70"/>
  </cols>
  <sheetData>
    <row r="1" spans="1:3" s="73" customFormat="1" ht="26.25">
      <c r="A1" s="732" t="s">
        <v>10</v>
      </c>
      <c r="B1" s="732"/>
      <c r="C1" s="732"/>
    </row>
    <row r="2" spans="1:3" s="73" customFormat="1" ht="21" customHeight="1" thickBot="1">
      <c r="A2" s="732" t="s">
        <v>767</v>
      </c>
      <c r="B2" s="732"/>
      <c r="C2" s="732"/>
    </row>
    <row r="3" spans="1:3" s="73" customFormat="1" ht="26.45" customHeight="1">
      <c r="A3" s="824" t="s">
        <v>768</v>
      </c>
      <c r="B3" s="812"/>
      <c r="C3" s="813"/>
    </row>
    <row r="4" spans="1:3" s="73" customFormat="1" ht="42">
      <c r="A4" s="639" t="s">
        <v>769</v>
      </c>
      <c r="B4" s="640">
        <v>7.0000000000000007E-2</v>
      </c>
      <c r="C4" s="641" t="s">
        <v>770</v>
      </c>
    </row>
    <row r="5" spans="1:3" s="73" customFormat="1" ht="42">
      <c r="A5" s="639" t="s">
        <v>771</v>
      </c>
      <c r="B5" s="640">
        <v>0.05</v>
      </c>
      <c r="C5" s="641" t="s">
        <v>770</v>
      </c>
    </row>
    <row r="6" spans="1:3" s="73" customFormat="1" ht="30.95" customHeight="1">
      <c r="A6" s="642" t="s">
        <v>772</v>
      </c>
      <c r="B6" s="643">
        <v>0.1</v>
      </c>
      <c r="C6" s="644" t="s">
        <v>770</v>
      </c>
    </row>
    <row r="7" spans="1:3" s="73" customFormat="1" ht="26.45" customHeight="1">
      <c r="A7" s="818" t="s">
        <v>773</v>
      </c>
      <c r="B7" s="819"/>
      <c r="C7" s="820"/>
    </row>
    <row r="8" spans="1:3" s="73" customFormat="1" ht="42">
      <c r="A8" s="639" t="s">
        <v>769</v>
      </c>
      <c r="B8" s="640">
        <v>7.0000000000000007E-2</v>
      </c>
      <c r="C8" s="641" t="s">
        <v>774</v>
      </c>
    </row>
    <row r="9" spans="1:3" s="73" customFormat="1" ht="42">
      <c r="A9" s="639" t="s">
        <v>771</v>
      </c>
      <c r="B9" s="640">
        <v>0.05</v>
      </c>
      <c r="C9" s="641" t="s">
        <v>774</v>
      </c>
    </row>
    <row r="10" spans="1:3" s="73" customFormat="1" ht="29.1" customHeight="1">
      <c r="A10" s="642" t="str">
        <f>A6</f>
        <v>CCATD</v>
      </c>
      <c r="B10" s="643">
        <v>0.1</v>
      </c>
      <c r="C10" s="644" t="s">
        <v>774</v>
      </c>
    </row>
    <row r="11" spans="1:3" s="73" customFormat="1" ht="26.45" customHeight="1">
      <c r="A11" s="818" t="s">
        <v>775</v>
      </c>
      <c r="B11" s="819"/>
      <c r="C11" s="820"/>
    </row>
    <row r="12" spans="1:3" s="73" customFormat="1" ht="29.1" customHeight="1">
      <c r="A12" s="639" t="s">
        <v>776</v>
      </c>
      <c r="B12" s="640">
        <v>0.1</v>
      </c>
      <c r="C12" s="641" t="s">
        <v>777</v>
      </c>
    </row>
    <row r="13" spans="1:3" s="73" customFormat="1" ht="30" customHeight="1">
      <c r="A13" s="642" t="str">
        <f>A6</f>
        <v>CCATD</v>
      </c>
      <c r="B13" s="643">
        <v>0</v>
      </c>
      <c r="C13" s="644" t="s">
        <v>778</v>
      </c>
    </row>
    <row r="14" spans="1:3" s="73" customFormat="1" ht="26.45" customHeight="1">
      <c r="A14" s="821" t="s">
        <v>779</v>
      </c>
      <c r="B14" s="822"/>
      <c r="C14" s="823"/>
    </row>
    <row r="15" spans="1:3" s="73" customFormat="1" ht="27.95" customHeight="1">
      <c r="A15" s="639" t="s">
        <v>776</v>
      </c>
      <c r="B15" s="640">
        <v>0.1</v>
      </c>
      <c r="C15" s="641" t="s">
        <v>780</v>
      </c>
    </row>
    <row r="16" spans="1:3" s="73" customFormat="1" ht="27.95" customHeight="1">
      <c r="A16" s="642" t="str">
        <f>A6</f>
        <v>CCATD</v>
      </c>
      <c r="B16" s="643">
        <v>0</v>
      </c>
      <c r="C16" s="644" t="s">
        <v>778</v>
      </c>
    </row>
    <row r="17" spans="1:3" s="73" customFormat="1" ht="26.45" customHeight="1">
      <c r="A17" s="818" t="s">
        <v>781</v>
      </c>
      <c r="B17" s="819"/>
      <c r="C17" s="820"/>
    </row>
    <row r="18" spans="1:3" s="73" customFormat="1" ht="42">
      <c r="A18" s="645" t="s">
        <v>776</v>
      </c>
      <c r="B18" s="640">
        <v>0.2</v>
      </c>
      <c r="C18" s="646" t="s">
        <v>782</v>
      </c>
    </row>
    <row r="19" spans="1:3" s="73" customFormat="1" ht="30.95" customHeight="1">
      <c r="A19" s="642" t="str">
        <f>A6</f>
        <v>CCATD</v>
      </c>
      <c r="B19" s="643">
        <v>0.05</v>
      </c>
      <c r="C19" s="644" t="s">
        <v>783</v>
      </c>
    </row>
    <row r="20" spans="1:3" s="73" customFormat="1" ht="26.45" customHeight="1">
      <c r="A20" s="818" t="s">
        <v>784</v>
      </c>
      <c r="B20" s="819"/>
      <c r="C20" s="820"/>
    </row>
    <row r="21" spans="1:3" s="73" customFormat="1" ht="21">
      <c r="A21" s="645" t="s">
        <v>776</v>
      </c>
      <c r="B21" s="640">
        <v>0.2</v>
      </c>
      <c r="C21" s="641" t="s">
        <v>774</v>
      </c>
    </row>
    <row r="22" spans="1:3" s="73" customFormat="1" ht="27.95" customHeight="1">
      <c r="A22" s="642" t="str">
        <f>A6</f>
        <v>CCATD</v>
      </c>
      <c r="B22" s="643">
        <v>0.05</v>
      </c>
      <c r="C22" s="644" t="s">
        <v>774</v>
      </c>
    </row>
    <row r="23" spans="1:3" s="73" customFormat="1" ht="26.45" customHeight="1">
      <c r="A23" s="818" t="s">
        <v>785</v>
      </c>
      <c r="B23" s="819"/>
      <c r="C23" s="820"/>
    </row>
    <row r="24" spans="1:3" s="73" customFormat="1" ht="21">
      <c r="A24" s="645" t="s">
        <v>776</v>
      </c>
      <c r="B24" s="640">
        <v>0.05</v>
      </c>
      <c r="C24" s="641" t="s">
        <v>777</v>
      </c>
    </row>
    <row r="25" spans="1:3" s="73" customFormat="1" ht="27.95" customHeight="1">
      <c r="A25" s="642" t="str">
        <f>A6</f>
        <v>CCATD</v>
      </c>
      <c r="B25" s="643">
        <v>0.05</v>
      </c>
      <c r="C25" s="647" t="s">
        <v>777</v>
      </c>
    </row>
    <row r="26" spans="1:3" s="73" customFormat="1" ht="26.45" customHeight="1">
      <c r="A26" s="818" t="s">
        <v>786</v>
      </c>
      <c r="B26" s="819"/>
      <c r="C26" s="820"/>
    </row>
    <row r="27" spans="1:3" s="73" customFormat="1" ht="21">
      <c r="A27" s="645" t="s">
        <v>776</v>
      </c>
      <c r="B27" s="640">
        <v>0.05</v>
      </c>
      <c r="C27" s="641" t="s">
        <v>774</v>
      </c>
    </row>
    <row r="28" spans="1:3" s="73" customFormat="1" ht="27.95" customHeight="1" thickBot="1">
      <c r="A28" s="648" t="str">
        <f>A6</f>
        <v>CCATD</v>
      </c>
      <c r="B28" s="649">
        <v>0.05</v>
      </c>
      <c r="C28" s="650" t="s">
        <v>774</v>
      </c>
    </row>
    <row r="30" spans="1:3" ht="61.35" customHeight="1">
      <c r="A30" s="814" t="s">
        <v>787</v>
      </c>
      <c r="B30" s="814"/>
      <c r="C30" s="814"/>
    </row>
    <row r="31" spans="1:3" ht="14.45" customHeight="1">
      <c r="A31" s="815"/>
      <c r="B31" s="815"/>
      <c r="C31" s="815"/>
    </row>
    <row r="32" spans="1:3" ht="31.35" customHeight="1">
      <c r="A32" s="814" t="s">
        <v>788</v>
      </c>
      <c r="B32" s="814"/>
      <c r="C32" s="814"/>
    </row>
    <row r="33" spans="1:3" ht="14.45" customHeight="1">
      <c r="A33" s="815"/>
      <c r="B33" s="815"/>
      <c r="C33" s="815"/>
    </row>
    <row r="34" spans="1:3" ht="30" customHeight="1">
      <c r="A34" s="814" t="s">
        <v>789</v>
      </c>
      <c r="B34" s="814"/>
      <c r="C34" s="814"/>
    </row>
    <row r="35" spans="1:3" ht="14.45" customHeight="1">
      <c r="A35" s="815"/>
      <c r="B35" s="815"/>
      <c r="C35" s="815"/>
    </row>
    <row r="36" spans="1:3" ht="15" customHeight="1">
      <c r="A36" s="816" t="s">
        <v>790</v>
      </c>
      <c r="B36" s="815"/>
      <c r="C36" s="815"/>
    </row>
    <row r="37" spans="1:3" ht="15" customHeight="1">
      <c r="A37" s="71"/>
    </row>
    <row r="38" spans="1:3" ht="15" customHeight="1">
      <c r="A38" s="72"/>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36" t="s">
        <v>791</v>
      </c>
    </row>
    <row r="2" spans="1:1">
      <c r="A2" s="536" t="s">
        <v>792</v>
      </c>
    </row>
    <row r="3" spans="1:1">
      <c r="A3" s="536" t="s">
        <v>793</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68741A9D56364FB8A58A3AC2794FA1" ma:contentTypeVersion="20" ma:contentTypeDescription="Create a new document." ma:contentTypeScope="" ma:versionID="6e1dd1d1a5f8fdaf81830aca576fdf07">
  <xsd:schema xmlns:xsd="http://www.w3.org/2001/XMLSchema" xmlns:xs="http://www.w3.org/2001/XMLSchema" xmlns:p="http://schemas.microsoft.com/office/2006/metadata/properties" xmlns:ns1="http://schemas.microsoft.com/sharepoint/v3" xmlns:ns2="5141ea92-4b25-47ad-b823-ecf43f51c3be" xmlns:ns3="12f347cb-09d3-40ca-adbc-3e69802a63cc" targetNamespace="http://schemas.microsoft.com/office/2006/metadata/properties" ma:root="true" ma:fieldsID="070bbd4a551e1b7a3c746748cd83167e" ns1:_="" ns2:_="" ns3:_="">
    <xsd:import namespace="http://schemas.microsoft.com/sharepoint/v3"/>
    <xsd:import namespace="5141ea92-4b25-47ad-b823-ecf43f51c3be"/>
    <xsd:import namespace="12f347cb-09d3-40ca-adbc-3e69802a63cc"/>
    <xsd:element name="properties">
      <xsd:complexType>
        <xsd:sequence>
          <xsd:element name="documentManagement">
            <xsd:complexType>
              <xsd:all>
                <xsd:element ref="ns2:c35df1a6715e448197f1375efcd1d749" minOccurs="0"/>
                <xsd:element ref="ns2:TaxCatchAll" minOccurs="0"/>
                <xsd:element ref="ns2:TaxCatchAllLabel" minOccurs="0"/>
                <xsd:element ref="ns3:Publish_x0020_Approved_x0020__x002d__x0020_bo_x002d_ac" minOccurs="0"/>
                <xsd:element ref="ns2:SharedWithUsers" minOccurs="0"/>
                <xsd:element ref="ns2:SharedWithDetails" minOccurs="0"/>
                <xsd:element ref="ns1:_ip_UnifiedCompliancePolicyProperties" minOccurs="0"/>
                <xsd:element ref="ns1:_ip_UnifiedCompliancePolicyUIAction"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Locatio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description="" ma:hidden="true" ma:internalName="_ip_UnifiedCompliancePolicyProperties">
      <xsd:simpleType>
        <xsd:restriction base="dms:Note"/>
      </xsd:simpleType>
    </xsd:element>
    <xsd:element name="_ip_UnifiedCompliancePolicyUIAction" ma:index="16"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41ea92-4b25-47ad-b823-ecf43f51c3be" elementFormDefault="qualified">
    <xsd:import namespace="http://schemas.microsoft.com/office/2006/documentManagement/types"/>
    <xsd:import namespace="http://schemas.microsoft.com/office/infopath/2007/PartnerControls"/>
    <xsd:element name="c35df1a6715e448197f1375efcd1d749" ma:index="8" ma:taxonomy="true" ma:internalName="c35df1a6715e448197f1375efcd1d749" ma:taxonomyFieldName="PIE_x0020_Category" ma:displayName="PIE Category" ma:default="2;#Unknown|7e812833-2358-4261-a7df-5ac1b0b704af" ma:fieldId="{c35df1a6-715e-4481-97f1-375efcd1d749}" ma:taxonomyMulti="true" ma:sspId="18a2c4a8-77cc-421c-ab11-e5e87170a049" ma:termSetId="ec45f97a-54aa-4afd-8e36-34401126d24a"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b551528d-2eda-4a4f-bbbc-d165eef8e8ef}" ma:internalName="TaxCatchAll" ma:showField="CatchAllData" ma:web="5141ea92-4b25-47ad-b823-ecf43f51c3b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b551528d-2eda-4a4f-bbbc-d165eef8e8ef}" ma:internalName="TaxCatchAllLabel" ma:readOnly="true" ma:showField="CatchAllDataLabel" ma:web="5141ea92-4b25-47ad-b823-ecf43f51c3be">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f347cb-09d3-40ca-adbc-3e69802a63cc" elementFormDefault="qualified">
    <xsd:import namespace="http://schemas.microsoft.com/office/2006/documentManagement/types"/>
    <xsd:import namespace="http://schemas.microsoft.com/office/infopath/2007/PartnerControls"/>
    <xsd:element name="Publish_x0020_Approved_x0020__x002d__x0020_bo_x002d_ac" ma:index="12" nillable="true" ma:displayName="Publish Approved - bo-ac" ma:internalName="Publish_x0020_Approved_x0020__x002d__x0020_bo_x002d_ac">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AutoTags" ma:index="19"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18a2c4a8-77cc-421c-ab11-e5e87170a049"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Publish_x0020_Approved_x0020__x002d__x0020_bo_x002d_ac xmlns="12f347cb-09d3-40ca-adbc-3e69802a63cc">
      <Url xsi:nil="true"/>
      <Description xsi:nil="true"/>
    </Publish_x0020_Approved_x0020__x002d__x0020_bo_x002d_ac>
    <c35df1a6715e448197f1375efcd1d749 xmlns="5141ea92-4b25-47ad-b823-ecf43f51c3be">
      <Terms xmlns="http://schemas.microsoft.com/office/infopath/2007/PartnerControls">
        <TermInfo xmlns="http://schemas.microsoft.com/office/infopath/2007/PartnerControls">
          <TermName xmlns="http://schemas.microsoft.com/office/infopath/2007/PartnerControls">Unknown</TermName>
          <TermId xmlns="http://schemas.microsoft.com/office/infopath/2007/PartnerControls">7e812833-2358-4261-a7df-5ac1b0b704af</TermId>
        </TermInfo>
      </Terms>
    </c35df1a6715e448197f1375efcd1d749>
    <_ip_UnifiedCompliancePolicyProperties xmlns="http://schemas.microsoft.com/sharepoint/v3" xsi:nil="true"/>
    <lcf76f155ced4ddcb4097134ff3c332f xmlns="12f347cb-09d3-40ca-adbc-3e69802a63cc">
      <Terms xmlns="http://schemas.microsoft.com/office/infopath/2007/PartnerControls"/>
    </lcf76f155ced4ddcb4097134ff3c332f>
    <TaxCatchAll xmlns="5141ea92-4b25-47ad-b823-ecf43f51c3be">
      <Value>2</Value>
    </TaxCatchAll>
  </documentManagement>
</p:properties>
</file>

<file path=customXml/itemProps1.xml><?xml version="1.0" encoding="utf-8"?>
<ds:datastoreItem xmlns:ds="http://schemas.openxmlformats.org/officeDocument/2006/customXml" ds:itemID="{10387991-2436-40CF-83A7-97FA03B56E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41ea92-4b25-47ad-b823-ecf43f51c3be"/>
    <ds:schemaRef ds:uri="12f347cb-09d3-40ca-adbc-3e69802a63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schemas.microsoft.com/office/2006/metadata/properties"/>
    <ds:schemaRef ds:uri="http://schemas.microsoft.com/office/infopath/2007/PartnerControls"/>
    <ds:schemaRef ds:uri="http://schemas.microsoft.com/sharepoint/v3"/>
    <ds:schemaRef ds:uri="12f347cb-09d3-40ca-adbc-3e69802a63cc"/>
    <ds:schemaRef ds:uri="5141ea92-4b25-47ad-b823-ecf43f51c3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EXHIBIT A</vt:lpstr>
      <vt:lpstr>CHECK SHEET</vt:lpstr>
      <vt:lpstr>EXHIBIT B</vt:lpstr>
      <vt:lpstr>EXHIBIT C</vt:lpstr>
      <vt:lpstr>EXHIBIT C(2)</vt:lpstr>
      <vt:lpstr>EXHIBIT D</vt:lpstr>
      <vt:lpstr>EXHIBIT F</vt:lpstr>
      <vt:lpstr>EXHIBIT E</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dcterms:created xsi:type="dcterms:W3CDTF">2005-03-22T15:46:43Z</dcterms:created>
  <dcterms:modified xsi:type="dcterms:W3CDTF">2026-08-04T12:42:24Z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0x010100C468741A9D56364FB8A58A3AC2794FA1</vt:lpwstr>
  </property>
</Properties>
</file>