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SCF, Manatee Sarasota\"/>
    </mc:Choice>
  </mc:AlternateContent>
  <xr:revisionPtr revIDLastSave="0" documentId="13_ncr:1_{048F70B4-AC0E-48F0-A0B7-95BF764253A9}" xr6:coauthVersionLast="47" xr6:coauthVersionMax="47" xr10:uidLastSave="{00000000-0000-0000-0000-000000000000}"/>
  <workbookProtection workbookAlgorithmName="SHA-512" workbookHashValue="dOjPbERM/G8NpKKaHwOUSA2nqLDGqSZy7Yy6QL9UD7HWwYNOsMWNpO2mrI8dcqCEpk68wTJEWEN4jjb+D9EdOA==" workbookSaltValue="u19631Ko/GAVUVHk/e1WUQ==" workbookSpinCount="100000" lockStructure="1"/>
  <bookViews>
    <workbookView xWindow="28860" yWindow="345" windowWidth="27915" windowHeight="14505" tabRatio="859" firstSheet="4" activeTab="4" xr2:uid="{00000000-000D-0000-FFFF-FFFF00000000}"/>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EGINNING_FUND_BALANCE___JULY_1__2026">'EXHIBIT A'!$B$11</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'EXHIBIT A'!$B$8</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'EXHIBIT A'!$E$10</definedName>
    <definedName name="CURRENT_FUNDS___UNRESTRICTED_LOWER_AND_UPPER_LEVEL">'EXHIBIT D'!$G$9</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4" l="1"/>
  <c r="G264" i="7"/>
  <c r="C19" i="8" l="1"/>
  <c r="C10" i="8"/>
  <c r="C14" i="8"/>
  <c r="G219" i="7" l="1"/>
  <c r="G215" i="7"/>
  <c r="G212" i="7"/>
  <c r="G211" i="7"/>
  <c r="G210" i="7"/>
  <c r="G207" i="7"/>
  <c r="G201" i="7"/>
  <c r="G199" i="7"/>
  <c r="G198" i="7"/>
  <c r="G190" i="7" l="1"/>
  <c r="G188" i="7"/>
  <c r="G185" i="7"/>
  <c r="G184" i="7"/>
  <c r="G176" i="7"/>
  <c r="G162" i="7"/>
  <c r="G154" i="7"/>
  <c r="G153" i="7"/>
  <c r="G152" i="7"/>
  <c r="G192" i="7"/>
  <c r="G149" i="7"/>
  <c r="G148" i="7"/>
  <c r="D53" i="15" l="1"/>
  <c r="D48" i="15"/>
  <c r="D47" i="15"/>
  <c r="D39" i="15"/>
  <c r="G54" i="7" l="1"/>
  <c r="D14" i="6" l="1"/>
  <c r="D12" i="6"/>
  <c r="D11" i="6"/>
  <c r="D10" i="6"/>
  <c r="C61" i="23" l="1"/>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87" i="3" l="1"/>
  <c r="F87" i="3" s="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H34" i="6" s="1"/>
  <c r="G32" i="7" s="1"/>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E40" i="4"/>
  <c r="C101" i="3" s="1"/>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c r="G19" i="5"/>
  <c r="H19" i="5"/>
  <c r="G22" i="5"/>
  <c r="H22" i="5" s="1"/>
  <c r="G23" i="5"/>
  <c r="H23" i="5" s="1"/>
  <c r="E20" i="12"/>
  <c r="E31" i="12"/>
  <c r="G194" i="7"/>
  <c r="D21" i="8"/>
  <c r="E59" i="3"/>
  <c r="C95" i="12"/>
  <c r="B31" i="5"/>
  <c r="H31" i="5"/>
  <c r="I31" i="5"/>
  <c r="B30" i="5"/>
  <c r="H30" i="5" s="1"/>
  <c r="I30" i="5" s="1"/>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G262" i="7"/>
  <c r="G266" i="7" s="1"/>
  <c r="C102" i="3" s="1"/>
  <c r="E67" i="22"/>
  <c r="E14" i="8"/>
  <c r="G228" i="7"/>
  <c r="X144" i="23"/>
  <c r="E60" i="22"/>
  <c r="H36" i="6"/>
  <c r="G34" i="7" s="1"/>
  <c r="E62" i="22"/>
  <c r="D17" i="6"/>
  <c r="F12" i="6"/>
  <c r="F11" i="6"/>
  <c r="E45" i="3" s="1"/>
  <c r="F14" i="6"/>
  <c r="F15" i="6"/>
  <c r="E49" i="3" s="1"/>
  <c r="F10" i="6"/>
  <c r="E44" i="3" s="1"/>
  <c r="E47" i="3"/>
  <c r="C93" i="3" l="1"/>
  <c r="H11" i="6"/>
  <c r="G13" i="7" s="1"/>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C103"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F48" i="3" s="1"/>
  <c r="G48" i="3" s="1"/>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86" i="3"/>
  <c r="D35" i="23"/>
  <c r="F46" i="3" l="1"/>
  <c r="G46" i="3" s="1"/>
  <c r="G36" i="7"/>
  <c r="H37" i="6"/>
  <c r="H45" i="6"/>
  <c r="G38" i="7"/>
  <c r="G43" i="7" s="1"/>
  <c r="H17" i="6"/>
  <c r="H28" i="6"/>
  <c r="H47" i="6" s="1"/>
  <c r="E25" i="4"/>
  <c r="E28" i="4" s="1"/>
  <c r="D68" i="22"/>
  <c r="D69" i="22"/>
  <c r="D70" i="22"/>
  <c r="G12" i="7"/>
  <c r="G19" i="7" s="1"/>
  <c r="G45" i="7" s="1"/>
  <c r="G65" i="7" s="1"/>
  <c r="G143" i="7" s="1"/>
  <c r="D117" i="15"/>
  <c r="D128" i="15" s="1"/>
  <c r="D130" i="15" s="1"/>
  <c r="E84" i="3"/>
  <c r="E88" i="3" s="1"/>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C126" i="3" l="1"/>
  <c r="F117" i="15"/>
  <c r="F128" i="15" s="1"/>
  <c r="C119" i="3"/>
  <c r="E18" i="4"/>
  <c r="E21" i="4" s="1"/>
  <c r="E23" i="4" s="1"/>
  <c r="E44" i="4" s="1"/>
  <c r="C17" i="3" s="1"/>
  <c r="F84" i="3"/>
  <c r="F88" i="3" s="1"/>
  <c r="C34" i="3"/>
  <c r="F130" i="15" l="1"/>
  <c r="C135" i="3"/>
  <c r="D32" i="4"/>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<sst xmlns="http://schemas.openxmlformats.org/spreadsheetml/2006/main" count="1323" uniqueCount="796">
  <si>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</si>
  <si>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</si>
  <si>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</si>
  <si>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</si>
  <si>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</si>
  <si>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</si>
  <si>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</si>
  <si>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</si>
  <si>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</si>
  <si>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</si>
  <si>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</si>
  <si>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</si>
  <si>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</si>
  <si>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</si>
  <si>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</si>
  <si>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</si>
  <si>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</si>
  <si>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</si>
  <si>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</si>
  <si>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</si>
  <si>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</si>
  <si>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</si>
  <si>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</si>
  <si>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</si>
  <si>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</si>
  <si>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</si>
  <si>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</si>
  <si>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</si>
  <si>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</si>
  <si>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</si>
  <si>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</si>
  <si>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</si>
  <si>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</si>
  <si>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</si>
  <si>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</si>
  <si>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</si>
  <si>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</si>
  <si>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</si>
  <si>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</si>
  <si>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</si>
  <si>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</si>
  <si>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</si>
  <si>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</si>
  <si>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</si>
  <si>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</si>
  <si>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</si>
  <si>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</si>
  <si>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</si>
  <si>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</si>
  <si>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</si>
  <si>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</si>
  <si>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</si>
  <si>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</si>
  <si>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</si>
  <si>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</si>
  <si>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</si>
  <si>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</si>
  <si>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</si>
  <si>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</si>
  <si>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</si>
  <si>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</si>
  <si>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</si>
  <si>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</si>
  <si>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</si>
  <si>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</si>
  <si>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</si>
  <si>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</si>
  <si>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</si>
  <si>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</si>
  <si>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</si>
  <si>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</si>
  <si>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</si>
  <si>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</si>
  <si>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</si>
  <si>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</si>
  <si>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</si>
  <si>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</si>
  <si>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</si>
  <si>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</si>
  <si>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</si>
  <si>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</si>
  <si>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</si>
  <si>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</si>
  <si>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</si>
  <si>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</si>
  <si>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</si>
  <si>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</si>
  <si>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</si>
  <si>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</si>
  <si>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</si>
  <si>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</si>
  <si>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</si>
  <si>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</si>
  <si>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</si>
  <si>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</si>
  <si>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</si>
  <si>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</si>
  <si>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</si>
  <si>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</si>
  <si>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</si>
  <si>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</si>
  <si>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</si>
  <si>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</si>
  <si>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</si>
  <si>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</si>
  <si>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</si>
  <si>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</si>
  <si>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</si>
  <si>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</si>
  <si>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</si>
  <si>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</si>
  <si>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</si>
  <si>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</si>
  <si>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</si>
  <si>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</si>
  <si>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</si>
  <si>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</si>
  <si>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</si>
  <si>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</si>
  <si>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</si>
  <si>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</si>
  <si>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</si>
  <si>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</si>
  <si>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</si>
  <si>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</si>
  <si>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</si>
  <si>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</si>
  <si>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</si>
  <si>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</si>
  <si>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</si>
  <si>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</si>
  <si>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</si>
  <si>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</si>
  <si>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</si>
  <si>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</si>
  <si>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</si>
  <si>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</si>
  <si>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</si>
  <si>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</si>
  <si>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</si>
  <si>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</si>
  <si>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</si>
  <si>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</si>
  <si>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</si>
  <si>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</si>
  <si>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</si>
  <si>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</si>
  <si>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</si>
  <si>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</si>
  <si>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</si>
  <si>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</si>
  <si>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</si>
  <si>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</si>
  <si>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</si>
  <si>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</si>
  <si>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</si>
  <si>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</si>
  <si>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</si>
  <si>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</si>
  <si>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</si>
  <si>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</si>
  <si>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</si>
  <si>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</si>
  <si>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</si>
  <si>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</si>
  <si>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</si>
  <si>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</si>
  <si>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</si>
  <si>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</si>
  <si>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</si>
  <si>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</si>
  <si>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</si>
  <si>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</si>
  <si>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</si>
  <si>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</si>
  <si>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</si>
  <si>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</si>
  <si>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</si>
  <si>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</si>
  <si>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</si>
  <si>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</si>
  <si>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</si>
  <si>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</si>
  <si>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</si>
  <si>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</si>
  <si>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</si>
  <si>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</si>
  <si>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</si>
  <si>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</si>
  <si>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</si>
  <si>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</si>
  <si>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</si>
  <si>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</si>
  <si>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</si>
  <si>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</si>
  <si>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</si>
  <si>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</si>
  <si>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</si>
  <si>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</si>
  <si>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</si>
  <si>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</si>
  <si>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</si>
  <si>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</si>
  <si>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</si>
  <si>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</si>
  <si>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</si>
  <si>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</si>
  <si>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</si>
  <si>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</si>
  <si>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</si>
  <si>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</si>
  <si>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</si>
  <si>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</si>
  <si>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</si>
  <si>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</si>
  <si>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</si>
  <si>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</si>
  <si>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</si>
  <si>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</si>
  <si>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</si>
  <si>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</si>
  <si>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</si>
  <si>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</si>
  <si>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</si>
  <si>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</si>
  <si>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</si>
  <si>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</si>
  <si>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</si>
  <si>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</si>
  <si>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</si>
  <si>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</si>
  <si>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</si>
  <si>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</si>
  <si>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</si>
  <si>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</si>
  <si>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</si>
  <si>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</si>
  <si>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</si>
  <si>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</si>
  <si>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</si>
  <si>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</si>
  <si>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</si>
  <si>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</si>
  <si>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</si>
  <si>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</si>
  <si>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</si>
  <si>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</si>
  <si>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</si>
  <si>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</si>
  <si>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</si>
  <si>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</si>
  <si>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</si>
  <si>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</si>
  <si>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</si>
  <si>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</si>
  <si>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</si>
  <si>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</si>
  <si>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</si>
  <si>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</si>
  <si>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</si>
  <si>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</si>
  <si>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</si>
  <si>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</si>
  <si>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</si>
  <si>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</si>
  <si>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</si>
  <si>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</si>
  <si>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</si>
  <si>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</si>
  <si>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</si>
  <si>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</si>
  <si>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</si>
  <si>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</si>
  <si>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</si>
  <si>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</si>
  <si>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</si>
  <si>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</si>
  <si>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</si>
  <si>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</si>
  <si>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</si>
  <si>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</si>
  <si>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</si>
  <si>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</si>
  <si>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</si>
  <si>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</si>
  <si>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</si>
  <si>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</si>
  <si>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</si>
  <si>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</si>
  <si>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</si>
  <si>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</si>
  <si>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</si>
  <si>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</si>
  <si>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</si>
  <si>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</si>
  <si>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</si>
  <si>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</si>
  <si>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</si>
  <si>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</si>
  <si>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</si>
  <si>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</si>
  <si>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</si>
  <si>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</si>
  <si>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</si>
  <si>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</si>
  <si>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</si>
  <si>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</si>
  <si>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</si>
  <si>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</si>
  <si>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</si>
  <si>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</si>
  <si>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</si>
  <si>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</si>
  <si>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</si>
  <si>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</si>
  <si>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</si>
  <si>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</si>
  <si>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</si>
  <si>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</si>
  <si>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</si>
  <si>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</si>
  <si>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</si>
  <si>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</si>
  <si>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</si>
  <si>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</si>
  <si>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</si>
  <si>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</si>
  <si>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</si>
  <si>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</si>
  <si>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</si>
  <si>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</si>
  <si>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</si>
  <si>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</si>
  <si>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</si>
  <si>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</si>
  <si>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</si>
  <si>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</si>
  <si>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</si>
  <si>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</si>
  <si>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</si>
  <si>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</si>
  <si>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</si>
  <si>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</si>
  <si>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</si>
  <si>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</si>
  <si>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</si>
  <si>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</si>
  <si>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</si>
  <si>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</si>
  <si>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</si>
  <si>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</si>
  <si>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</si>
  <si>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</si>
  <si>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</si>
  <si>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</si>
  <si>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</si>
  <si>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</si>
  <si>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</si>
  <si>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</si>
  <si>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</si>
  <si>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</si>
  <si>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</si>
  <si>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</si>
  <si>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</si>
  <si>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</si>
  <si>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</si>
  <si>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</si>
  <si>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</si>
  <si>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</si>
  <si>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</si>
  <si>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</si>
  <si>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</si>
  <si>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</si>
  <si>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</si>
  <si>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</si>
  <si>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</si>
  <si>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</si>
  <si>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</si>
  <si>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</si>
  <si>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</si>
  <si>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</si>
  <si>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</si>
  <si>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</si>
  <si>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</si>
  <si>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</si>
  <si>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</si>
  <si>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</si>
  <si>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</si>
  <si>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</si>
  <si>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</si>
  <si>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</si>
  <si>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</si>
  <si>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</si>
  <si>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</si>
  <si>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</si>
  <si>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</si>
  <si>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</si>
  <si>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</si>
  <si>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</si>
  <si>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</si>
  <si>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</si>
  <si>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</si>
  <si>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</si>
  <si>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</si>
  <si>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</si>
  <si>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</si>
  <si>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</si>
  <si>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</si>
  <si>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</si>
  <si>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</si>
  <si>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</si>
  <si>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</si>
  <si>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</si>
  <si>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</si>
  <si>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</si>
  <si>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</si>
  <si>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</si>
  <si>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</si>
  <si>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</si>
  <si>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</si>
  <si>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</si>
  <si>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</si>
  <si>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</si>
  <si>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</si>
  <si>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</si>
  <si>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</si>
  <si>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</si>
  <si>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</si>
  <si>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</si>
  <si>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</si>
  <si>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</si>
  <si>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</si>
  <si>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</si>
  <si>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</si>
  <si>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</si>
  <si>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</si>
  <si>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</si>
  <si>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</si>
  <si>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</si>
  <si>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</si>
  <si>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</si>
  <si>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</si>
  <si>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</si>
  <si>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</si>
  <si>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</si>
  <si>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</si>
  <si>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</si>
  <si>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</si>
  <si>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</si>
  <si>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</si>
  <si>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</si>
  <si>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</si>
  <si>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</si>
  <si>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</si>
  <si>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</si>
  <si>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</si>
  <si>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</si>
  <si>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</si>
  <si>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</si>
  <si>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</si>
  <si>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</si>
  <si>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</si>
  <si>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</si>
  <si>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</si>
  <si>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</si>
  <si>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</si>
  <si>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</si>
  <si>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</si>
  <si>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</si>
  <si>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</si>
  <si>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</si>
  <si>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</si>
  <si>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</si>
  <si>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</si>
  <si>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</si>
  <si>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</si>
  <si>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</si>
  <si>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</si>
  <si>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</si>
  <si>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</si>
  <si>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</si>
  <si>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</si>
  <si>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</si>
  <si>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</si>
  <si>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</si>
  <si>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</si>
  <si>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</si>
  <si>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</si>
  <si>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</si>
  <si>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</si>
  <si>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</si>
  <si>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</si>
  <si>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</si>
  <si>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</si>
  <si>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</si>
  <si>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</si>
  <si>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</si>
  <si>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</si>
  <si>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</si>
  <si>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</si>
  <si>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</si>
  <si>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</si>
  <si>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</si>
  <si>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</si>
  <si>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</si>
  <si>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</si>
  <si>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</si>
  <si>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</si>
  <si>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</si>
  <si>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</si>
  <si>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</si>
  <si>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</si>
  <si>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</si>
  <si>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</si>
  <si>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</si>
  <si>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</si>
  <si>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</si>
  <si>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</si>
  <si>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</si>
  <si>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</si>
  <si>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</si>
  <si>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</si>
  <si>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</si>
  <si>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</si>
  <si>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</si>
  <si>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</si>
  <si>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</si>
  <si>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</si>
  <si>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</si>
  <si>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</si>
  <si>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</si>
  <si>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</si>
  <si>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</si>
  <si>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</si>
  <si>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</si>
  <si>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</si>
  <si>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</si>
  <si>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</si>
  <si>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</si>
  <si>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</si>
  <si>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</si>
  <si>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</si>
  <si>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</si>
  <si>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</si>
  <si>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</si>
  <si>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</si>
  <si>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</si>
  <si>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</si>
  <si>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</si>
  <si>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</si>
  <si>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</si>
  <si>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</si>
  <si>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</si>
  <si>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</si>
  <si>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</si>
  <si>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</si>
  <si>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</si>
  <si>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</si>
  <si>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</si>
  <si>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</si>
  <si>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</si>
  <si>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</si>
  <si>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</si>
  <si>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</si>
  <si>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</si>
  <si>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</si>
  <si>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</si>
  <si>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</si>
  <si>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</si>
  <si>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</si>
  <si>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</si>
  <si>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</si>
  <si>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</si>
  <si>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</si>
  <si>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</si>
  <si>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</si>
  <si>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</si>
  <si>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</si>
  <si>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</si>
  <si>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</si>
  <si>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</si>
  <si>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</si>
  <si>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</si>
  <si>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</si>
  <si>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</si>
  <si>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</si>
  <si>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</si>
  <si>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</si>
  <si>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</si>
  <si>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</si>
  <si>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</si>
  <si>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</si>
  <si>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</si>
  <si>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</si>
  <si>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</si>
  <si>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</si>
  <si>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</si>
  <si>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</si>
  <si>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</si>
  <si>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</si>
  <si>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</si>
  <si>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</si>
  <si>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</si>
  <si>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</si>
  <si>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</si>
  <si>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</si>
  <si>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</si>
  <si>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</si>
  <si>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</si>
  <si>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</si>
  <si>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</si>
  <si>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</si>
  <si>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</si>
  <si>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</si>
  <si>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</si>
  <si>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</si>
  <si>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</si>
  <si>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</si>
  <si>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</si>
  <si>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</si>
  <si>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</si>
  <si>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</si>
  <si>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</si>
  <si>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</si>
  <si>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</si>
  <si>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</si>
  <si>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</si>
  <si>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</si>
  <si>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</si>
  <si>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</si>
  <si>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</si>
  <si>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</si>
  <si>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</si>
  <si>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</si>
  <si>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</si>
  <si>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</si>
  <si>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</si>
  <si>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</si>
  <si>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</si>
  <si>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</si>
  <si>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</si>
  <si>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</si>
  <si>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</si>
  <si>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</si>
  <si>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</si>
  <si>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</si>
  <si>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</si>
  <si>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</si>
  <si>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</si>
  <si>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</si>
  <si>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</si>
  <si>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</si>
  <si>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</si>
  <si>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</si>
  <si>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</si>
  <si>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</si>
  <si>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</si>
  <si>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</si>
  <si>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</si>
  <si>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</si>
  <si>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</si>
  <si>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</si>
  <si>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</si>
  <si>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</si>
  <si>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</si>
  <si>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</si>
  <si>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</si>
  <si>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</si>
  <si>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</si>
  <si>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</si>
  <si>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</si>
  <si>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</si>
  <si>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</si>
  <si>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</si>
  <si>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</si>
  <si>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</si>
  <si>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</si>
  <si>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</si>
  <si>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</si>
  <si>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</si>
  <si>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</si>
  <si>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</si>
  <si>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</si>
  <si>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</si>
  <si>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</si>
  <si>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</si>
  <si>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</si>
  <si>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</si>
  <si>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</si>
  <si>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</si>
  <si>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</si>
  <si>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</si>
  <si>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</si>
  <si>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</si>
  <si>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</si>
  <si>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</si>
  <si>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</si>
  <si>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</si>
  <si>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</si>
  <si>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</si>
  <si>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</si>
  <si>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</si>
  <si>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</si>
  <si>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</si>
  <si>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</si>
  <si>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</si>
  <si>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</si>
  <si>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</si>
  <si>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</si>
  <si>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</si>
  <si>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</si>
  <si>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</si>
  <si>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</si>
  <si>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</si>
  <si>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</si>
  <si>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</si>
  <si>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</si>
  <si>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</si>
  <si>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</si>
  <si>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</si>
  <si>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</si>
  <si>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</si>
  <si>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</si>
  <si>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</si>
  <si>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</si>
  <si>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</si>
  <si>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</si>
  <si>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</si>
  <si>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</si>
  <si>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</si>
  <si>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</si>
  <si>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</si>
  <si>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</si>
  <si>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</si>
  <si>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</si>
  <si>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</si>
  <si>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</si>
  <si>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</si>
  <si>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</si>
  <si>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</si>
  <si>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</si>
  <si>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</si>
  <si>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</si>
  <si>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</si>
  <si>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</si>
  <si>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</si>
  <si>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</si>
  <si>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</si>
  <si>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</si>
  <si>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</si>
  <si>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</si>
  <si>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</si>
  <si>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</si>
  <si>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</si>
  <si>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</si>
  <si>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</si>
  <si>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</si>
  <si>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</si>
  <si>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</si>
  <si>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</si>
  <si>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</si>
  <si>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</si>
  <si>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</si>
  <si>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</si>
  <si>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</si>
  <si>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t xml:space="preserve">FCSPF GENERAL REVENUE (GENERAL LEDGER CODE 42110) </t>
    </r>
    <r>
      <rPr>
        <vertAlign val="superscript"/>
        <sz val="16"/>
        <rFont val="Calibri"/>
        <family val="2"/>
      </rPr>
      <t>1,2,3</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</si>
  <si>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</si>
  <si>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</si>
  <si>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Workforce Program Expansion - Welding Technology and Advanced Manufacturing (SF 3130)</t>
  </si>
  <si>
    <t>Critical Workforce Program Expansion (HF 1170)</t>
  </si>
  <si>
    <t>Specialized Equipment for Center for Aerospace and Advanced Technical Education (HF 2186)</t>
  </si>
  <si>
    <t>Equipping Applied Science Laboratories-Multiple Campuses (HF 3683)</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</si>
  <si>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</si>
  <si>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</si>
  <si>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</si>
  <si>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</si>
  <si>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</si>
  <si>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</si>
  <si>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</si>
  <si>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</si>
  <si>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</si>
  <si>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</si>
  <si>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</si>
  <si>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</si>
  <si>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Advanced Technology Center</t>
  </si>
  <si>
    <t xml:space="preserve">Regional Transportation Training Center </t>
  </si>
  <si>
    <t>STEM Stackable</t>
  </si>
  <si>
    <t>Updated:5.26.26 Needs final edit.</t>
  </si>
  <si>
    <t>Date Updated: 5.27.26</t>
  </si>
  <si>
    <t>Updated 5.27.26 EN</t>
  </si>
  <si>
    <t>The 2026-27 credit load hours are based on current trends and a projection of 5% increase in total load hours vs. FTE.</t>
  </si>
  <si>
    <t>Fund 1</t>
  </si>
  <si>
    <t>Fund 2</t>
  </si>
  <si>
    <t>Fund 3</t>
  </si>
  <si>
    <t>Auxiliary fund to support operation</t>
  </si>
  <si>
    <t>Pipeline designated usage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</si>
</sst>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6">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0" fillId="32" borderId="187" xfId="0" applyNumberFormat="1" applyFont="1" applyFill="1" applyBorder="1" applyProtection="1">
      <protection locked="0"/>
    </xf>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150" fillId="32" borderId="214" xfId="0" applyNumberFormat="1" applyFont="1" applyFill="1" applyBorder="1" applyProtection="1">
      <protection locked="0"/>
    </xf>
    <xf numFmtId="4" fontId="68" fillId="0" borderId="214" xfId="181" applyNumberFormat="1" applyFont="1" applyBorder="1" applyProtection="1"/>
    <xf numFmtId="4" fontId="68" fillId="0" borderId="222" xfId="181" applyNumberFormat="1" applyFont="1" applyBorder="1" applyProtection="1"/>
    <xf numFmtId="4" fontId="150" fillId="32" borderId="217" xfId="0" applyNumberFormat="1" applyFont="1" applyFill="1" applyBorder="1" applyProtection="1">
      <protection locked="0"/>
    </xf>
    <xf numFmtId="4" fontId="68" fillId="0" borderId="217" xfId="181" applyNumberFormat="1" applyFont="1" applyBorder="1" applyProtection="1"/>
    <xf numFmtId="4" fontId="74" fillId="0" borderId="215" xfId="0" applyNumberFormat="1" applyFont="1" applyBorder="1"/>
    <xf numFmtId="4" fontId="143" fillId="0" borderId="215" xfId="0" applyNumberFormat="1" applyFont="1" applyBorder="1"/>
    <xf numFmtId="4" fontId="68" fillId="0" borderId="214" xfId="181" applyNumberFormat="1" applyFont="1" applyFill="1" applyBorder="1" applyProtection="1"/>
    <xf numFmtId="4" fontId="143"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0"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0"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0"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0"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0"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0" fillId="32" borderId="214" xfId="0" applyFont="1" applyFill="1" applyBorder="1" applyProtection="1">
      <protection locked="0"/>
    </xf>
    <xf numFmtId="0" fontId="150"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3" fillId="0" borderId="217" xfId="0" applyFont="1" applyBorder="1"/>
    <xf numFmtId="168" fontId="103" fillId="0" borderId="217" xfId="0" applyNumberFormat="1" applyFont="1" applyBorder="1"/>
    <xf numFmtId="3" fontId="151" fillId="32" borderId="215" xfId="0" applyNumberFormat="1" applyFont="1" applyFill="1" applyBorder="1" applyProtection="1">
      <protection locked="0"/>
    </xf>
    <xf numFmtId="168" fontId="124" fillId="74" borderId="250" xfId="0" applyNumberFormat="1" applyFont="1" applyFill="1" applyBorder="1" applyAlignment="1">
      <alignment horizontal="right"/>
    </xf>
    <xf numFmtId="5" fontId="124" fillId="74" borderId="250" xfId="0" applyNumberFormat="1" applyFont="1" applyFill="1" applyBorder="1" applyAlignment="1">
      <alignment horizontal="right"/>
    </xf>
    <xf numFmtId="5" fontId="124"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4"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4" fillId="74" borderId="238"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4" xfId="0" applyNumberFormat="1" applyFont="1" applyFill="1" applyBorder="1" applyAlignment="1">
      <alignment horizontal="right"/>
    </xf>
    <xf numFmtId="37" fontId="123" fillId="74" borderId="258" xfId="0" applyNumberFormat="1" applyFont="1" applyFill="1" applyBorder="1" applyAlignment="1">
      <alignment horizontal="right"/>
    </xf>
    <xf numFmtId="37" fontId="103"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3" fillId="0" borderId="253" xfId="0" applyNumberFormat="1" applyFont="1" applyBorder="1"/>
    <xf numFmtId="37" fontId="123" fillId="74" borderId="212" xfId="0" applyNumberFormat="1" applyFont="1" applyFill="1" applyBorder="1"/>
    <xf numFmtId="37" fontId="123" fillId="24" borderId="254" xfId="0" applyNumberFormat="1" applyFont="1" applyFill="1" applyBorder="1"/>
    <xf numFmtId="37" fontId="103" fillId="30" borderId="260" xfId="0" applyNumberFormat="1" applyFont="1" applyFill="1" applyBorder="1"/>
    <xf numFmtId="37" fontId="123"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3" fillId="74" borderId="208" xfId="0" applyNumberFormat="1" applyFont="1" applyFill="1" applyBorder="1"/>
    <xf numFmtId="0" fontId="101" fillId="0" borderId="265" xfId="0" applyFont="1" applyBorder="1"/>
    <xf numFmtId="0" fontId="101" fillId="0" borderId="266" xfId="0" applyFont="1" applyBorder="1"/>
    <xf numFmtId="0" fontId="101" fillId="0" borderId="266" xfId="0" applyFont="1" applyBorder="1" applyAlignment="1">
      <alignment horizontal="center"/>
    </xf>
    <xf numFmtId="3" fontId="152" fillId="32" borderId="267" xfId="0" applyNumberFormat="1" applyFont="1" applyFill="1" applyBorder="1" applyProtection="1">
      <protection locked="0"/>
    </xf>
    <xf numFmtId="3" fontId="101" fillId="0" borderId="267" xfId="0" applyNumberFormat="1" applyFont="1" applyBorder="1"/>
    <xf numFmtId="0" fontId="101" fillId="0" borderId="268" xfId="0" applyFont="1" applyBorder="1"/>
    <xf numFmtId="0" fontId="101" fillId="0" borderId="269" xfId="0" applyFont="1" applyBorder="1"/>
    <xf numFmtId="0" fontId="101" fillId="0" borderId="269" xfId="0" applyFont="1" applyBorder="1" applyAlignment="1">
      <alignment horizontal="center"/>
    </xf>
    <xf numFmtId="3" fontId="152" fillId="32" borderId="270" xfId="0" applyNumberFormat="1" applyFont="1" applyFill="1" applyBorder="1" applyProtection="1">
      <protection locked="0"/>
    </xf>
    <xf numFmtId="3" fontId="101" fillId="0" borderId="270" xfId="0" applyNumberFormat="1" applyFont="1" applyBorder="1"/>
    <xf numFmtId="0" fontId="101" fillId="0" borderId="267" xfId="0" applyFont="1" applyBorder="1" applyAlignment="1">
      <alignment horizontal="center"/>
    </xf>
    <xf numFmtId="0" fontId="101" fillId="0" borderId="270" xfId="0" applyFont="1" applyBorder="1" applyAlignment="1">
      <alignment horizontal="center"/>
    </xf>
    <xf numFmtId="0" fontId="101" fillId="75" borderId="267" xfId="0" applyFont="1" applyFill="1" applyBorder="1"/>
    <xf numFmtId="0" fontId="101" fillId="0" borderId="271" xfId="0" applyFont="1" applyBorder="1"/>
    <xf numFmtId="0" fontId="101" fillId="75" borderId="270" xfId="0" applyFont="1" applyFill="1" applyBorder="1"/>
    <xf numFmtId="0" fontId="139" fillId="0" borderId="258" xfId="663" applyFont="1" applyBorder="1" applyAlignment="1">
      <alignment horizontal="center" wrapText="1"/>
    </xf>
    <xf numFmtId="0" fontId="139" fillId="0" borderId="272" xfId="663" applyFont="1" applyBorder="1" applyAlignment="1">
      <alignment horizontal="center" wrapText="1"/>
    </xf>
    <xf numFmtId="9" fontId="120" fillId="0" borderId="258" xfId="663" applyNumberFormat="1" applyFont="1" applyBorder="1" applyAlignment="1">
      <alignment horizontal="center" wrapText="1"/>
    </xf>
    <xf numFmtId="9" fontId="139" fillId="0" borderId="272" xfId="663" applyNumberFormat="1" applyFont="1" applyBorder="1" applyAlignment="1">
      <alignment horizontal="center" wrapText="1"/>
    </xf>
    <xf numFmtId="0" fontId="118" fillId="0" borderId="274" xfId="663" applyFont="1" applyBorder="1"/>
    <xf numFmtId="44" fontId="104" fillId="0" borderId="273" xfId="378" applyFont="1" applyFill="1" applyBorder="1" applyProtection="1"/>
    <xf numFmtId="44" fontId="104" fillId="0" borderId="275" xfId="378" applyFont="1" applyFill="1" applyBorder="1" applyProtection="1"/>
    <xf numFmtId="0" fontId="104" fillId="0" borderId="274" xfId="663" applyFont="1" applyBorder="1"/>
    <xf numFmtId="44" fontId="104" fillId="0" borderId="258" xfId="378" applyFont="1" applyFill="1" applyBorder="1" applyProtection="1"/>
    <xf numFmtId="44" fontId="104" fillId="0" borderId="272" xfId="378" applyFont="1" applyFill="1" applyBorder="1" applyProtection="1"/>
    <xf numFmtId="0" fontId="104" fillId="0" borderId="274" xfId="663" applyFont="1" applyBorder="1" applyAlignment="1">
      <alignment horizontal="left"/>
    </xf>
    <xf numFmtId="0" fontId="104" fillId="0" borderId="276" xfId="663" applyFont="1" applyBorder="1"/>
    <xf numFmtId="0" fontId="118" fillId="0" borderId="258" xfId="663" applyFont="1" applyBorder="1"/>
    <xf numFmtId="0" fontId="118" fillId="0" borderId="272" xfId="663" applyFont="1" applyBorder="1"/>
    <xf numFmtId="0" fontId="139" fillId="0" borderId="273" xfId="663" applyFont="1" applyBorder="1" applyAlignment="1">
      <alignment horizontal="center" wrapText="1"/>
    </xf>
    <xf numFmtId="0" fontId="139" fillId="0" borderId="275" xfId="663" applyFont="1" applyBorder="1" applyAlignment="1">
      <alignment horizontal="center" wrapText="1"/>
    </xf>
    <xf numFmtId="0" fontId="118" fillId="0" borderId="276" xfId="663" applyFont="1" applyBorder="1"/>
    <xf numFmtId="0" fontId="104" fillId="0" borderId="276" xfId="663" applyFont="1" applyBorder="1" applyAlignment="1">
      <alignment horizontal="left"/>
    </xf>
    <xf numFmtId="0" fontId="104" fillId="0" borderId="277" xfId="663" applyFont="1" applyBorder="1"/>
    <xf numFmtId="44" fontId="104" fillId="0" borderId="278" xfId="378" applyFont="1" applyFill="1" applyBorder="1" applyProtection="1"/>
    <xf numFmtId="44" fontId="104" fillId="0" borderId="279" xfId="378" applyFont="1" applyFill="1" applyBorder="1" applyProtection="1"/>
    <xf numFmtId="0" fontId="139" fillId="0" borderId="280" xfId="663" applyFont="1" applyBorder="1" applyAlignment="1">
      <alignment horizontal="center" wrapText="1"/>
    </xf>
    <xf numFmtId="9" fontId="139" fillId="0" borderId="280" xfId="663" applyNumberFormat="1" applyFont="1" applyBorder="1" applyAlignment="1">
      <alignment horizontal="center" wrapText="1"/>
    </xf>
    <xf numFmtId="0" fontId="118" fillId="0" borderId="281" xfId="663" applyFont="1" applyBorder="1"/>
    <xf numFmtId="44" fontId="104" fillId="0" borderId="280" xfId="378" applyFont="1" applyFill="1" applyBorder="1" applyProtection="1"/>
    <xf numFmtId="0" fontId="104" fillId="0" borderId="281" xfId="663" applyFont="1" applyBorder="1"/>
    <xf numFmtId="0" fontId="104" fillId="0" borderId="281" xfId="663" applyFont="1" applyBorder="1" applyAlignment="1">
      <alignment horizontal="left"/>
    </xf>
    <xf numFmtId="0" fontId="118" fillId="0" borderId="280" xfId="663" applyFont="1" applyBorder="1"/>
    <xf numFmtId="44" fontId="104" fillId="0" borderId="258" xfId="378" applyFont="1" applyFill="1" applyBorder="1" applyAlignment="1" applyProtection="1">
      <alignment horizontal="right"/>
    </xf>
    <xf numFmtId="44" fontId="104" fillId="0" borderId="280" xfId="378" applyFont="1" applyFill="1" applyBorder="1" applyAlignment="1" applyProtection="1">
      <alignment horizontal="right"/>
    </xf>
    <xf numFmtId="0" fontId="104" fillId="0" borderId="282" xfId="663" applyFont="1" applyBorder="1"/>
    <xf numFmtId="44" fontId="104" fillId="0" borderId="283" xfId="378" applyFont="1" applyFill="1" applyBorder="1" applyAlignment="1" applyProtection="1">
      <alignment horizontal="right"/>
    </xf>
    <xf numFmtId="44" fontId="104" fillId="0" borderId="284" xfId="378" applyFont="1" applyFill="1" applyBorder="1" applyAlignment="1" applyProtection="1">
      <alignment horizontal="right"/>
    </xf>
    <xf numFmtId="44" fontId="104" fillId="0" borderId="258" xfId="378" quotePrefix="1" applyFont="1" applyFill="1" applyBorder="1" applyProtection="1"/>
    <xf numFmtId="44" fontId="104" fillId="0" borderId="283" xfId="378" applyFont="1" applyFill="1" applyBorder="1" applyProtection="1"/>
    <xf numFmtId="44" fontId="104" fillId="0" borderId="283" xfId="378" quotePrefix="1" applyFont="1" applyFill="1" applyBorder="1" applyProtection="1"/>
    <xf numFmtId="44" fontId="104" fillId="0" borderId="284" xfId="378" applyFont="1" applyFill="1" applyBorder="1" applyProtection="1"/>
    <xf numFmtId="44" fontId="104"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257"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37" fontId="103" fillId="30" borderId="263"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3"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4" fontId="154" fillId="32" borderId="295"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6"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269"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5"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4" xfId="0" applyFont="1" applyBorder="1" applyAlignment="1">
      <alignment horizontal="center"/>
    </xf>
    <xf numFmtId="3" fontId="152" fillId="32" borderId="294" xfId="0" applyNumberFormat="1" applyFont="1" applyFill="1" applyBorder="1" applyProtection="1">
      <protection locked="0"/>
    </xf>
    <xf numFmtId="3" fontId="101" fillId="0" borderId="294" xfId="0" applyNumberFormat="1" applyFont="1" applyBorder="1"/>
    <xf numFmtId="37" fontId="101"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68" fillId="0" borderId="293" xfId="0" applyFont="1" applyBorder="1"/>
    <xf numFmtId="0" fontId="68" fillId="0" borderId="294"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1" xfId="0" applyNumberFormat="1" applyFont="1" applyFill="1" applyBorder="1" applyProtection="1">
      <protection locked="0"/>
    </xf>
    <xf numFmtId="37" fontId="151" fillId="33" borderId="302" xfId="0" applyNumberFormat="1" applyFont="1" applyFill="1" applyBorder="1" applyProtection="1">
      <protection locked="0"/>
    </xf>
    <xf numFmtId="3" fontId="153" fillId="0" borderId="267" xfId="0" applyNumberFormat="1" applyFont="1" applyBorder="1"/>
    <xf numFmtId="0" fontId="101" fillId="0" borderId="265" xfId="0" applyFont="1" applyBorder="1" applyAlignment="1">
      <alignment horizontal="centerContinuous" wrapText="1"/>
    </xf>
    <xf numFmtId="0" fontId="101" fillId="0" borderId="266"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0" fontId="68" fillId="32" borderId="308"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7" xfId="0" applyNumberFormat="1" applyFont="1" applyBorder="1"/>
    <xf numFmtId="37" fontId="101" fillId="0" borderId="298" xfId="0" applyNumberFormat="1" applyFont="1" applyBorder="1"/>
    <xf numFmtId="172" fontId="101" fillId="0" borderId="293" xfId="0" applyNumberFormat="1" applyFont="1" applyBorder="1" applyAlignment="1">
      <alignment horizontal="center"/>
    </xf>
    <xf numFmtId="37" fontId="101" fillId="0" borderId="299" xfId="0" applyNumberFormat="1" applyFont="1" applyBorder="1"/>
    <xf numFmtId="37" fontId="101" fillId="0" borderId="300" xfId="0" applyNumberFormat="1" applyFont="1" applyBorder="1"/>
    <xf numFmtId="172" fontId="101" fillId="0" borderId="294"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9"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10"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1" xfId="0" applyNumberFormat="1" applyFont="1" applyBorder="1"/>
    <xf numFmtId="171" fontId="145" fillId="0" borderId="280" xfId="0" applyNumberFormat="1" applyFont="1" applyBorder="1"/>
    <xf numFmtId="169" fontId="145" fillId="0" borderId="282" xfId="0" applyNumberFormat="1" applyFont="1" applyBorder="1"/>
    <xf numFmtId="171" fontId="145"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69" fillId="32" borderId="293" xfId="0" applyFont="1" applyFill="1" applyBorder="1" applyAlignment="1" applyProtection="1">
      <alignment horizontal="right"/>
      <protection locked="0"/>
    </xf>
    <xf numFmtId="0" fontId="169"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1" xfId="0" applyFont="1" applyBorder="1"/>
    <xf numFmtId="0" fontId="100" fillId="0" borderId="311" xfId="0" applyFont="1" applyBorder="1" applyAlignment="1">
      <alignment horizontal="left" wrapText="1"/>
    </xf>
    <xf numFmtId="3" fontId="100" fillId="0" borderId="311" xfId="0" applyNumberFormat="1" applyFont="1" applyBorder="1" applyAlignment="1">
      <alignment horizontal="right" wrapText="1"/>
    </xf>
    <xf numFmtId="3" fontId="100" fillId="36" borderId="311" xfId="0" applyNumberFormat="1" applyFont="1" applyFill="1" applyBorder="1" applyAlignment="1">
      <alignment horizontal="right" wrapText="1"/>
    </xf>
    <xf numFmtId="0" fontId="68" fillId="78" borderId="312" xfId="0" applyFont="1" applyFill="1" applyBorder="1" applyAlignment="1">
      <alignment wrapText="1"/>
    </xf>
    <xf numFmtId="0" fontId="68" fillId="32" borderId="311" xfId="495" applyFont="1" applyFill="1" applyBorder="1" applyAlignment="1">
      <alignment horizontal="center" wrapText="1"/>
    </xf>
    <xf numFmtId="3" fontId="68" fillId="32" borderId="311" xfId="181" applyNumberFormat="1" applyFont="1" applyFill="1" applyBorder="1"/>
    <xf numFmtId="3" fontId="68" fillId="36" borderId="311" xfId="0" applyNumberFormat="1" applyFont="1" applyFill="1" applyBorder="1" applyAlignment="1">
      <alignment horizontal="right"/>
    </xf>
    <xf numFmtId="3" fontId="145"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0" fillId="32" borderId="311"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0"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1" fillId="32" borderId="294" xfId="0" applyNumberFormat="1" applyFont="1" applyFill="1" applyBorder="1" applyProtection="1">
      <protection locked="0"/>
    </xf>
    <xf numFmtId="0" fontId="96" fillId="0" borderId="309" xfId="0" applyFont="1" applyBorder="1"/>
    <xf numFmtId="2" fontId="154" fillId="32" borderId="29" xfId="0" applyNumberFormat="1" applyFont="1" applyFill="1" applyBorder="1" applyProtection="1">
      <protection locked="0"/>
    </xf>
    <xf numFmtId="2" fontId="70" fillId="71" borderId="311" xfId="0" applyNumberFormat="1" applyFont="1" applyFill="1" applyBorder="1"/>
    <xf numFmtId="2" fontId="154" fillId="32" borderId="309"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8"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3"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4" xfId="0" applyFont="1" applyFill="1" applyBorder="1" applyAlignment="1">
      <alignment wrapText="1"/>
    </xf>
    <xf numFmtId="0" fontId="68" fillId="32" borderId="315" xfId="495" applyFont="1" applyFill="1" applyBorder="1" applyAlignment="1">
      <alignment horizontal="center" wrapText="1"/>
    </xf>
    <xf numFmtId="3" fontId="68" fillId="32" borderId="315" xfId="181" applyNumberFormat="1" applyFont="1" applyFill="1" applyBorder="1"/>
    <xf numFmtId="3" fontId="68" fillId="36" borderId="315" xfId="0" applyNumberFormat="1" applyFont="1" applyFill="1" applyBorder="1" applyAlignment="1">
      <alignment horizontal="right"/>
    </xf>
    <xf numFmtId="0" fontId="145" fillId="32" borderId="313" xfId="0" applyFont="1" applyFill="1" applyBorder="1" applyAlignment="1">
      <alignment wrapText="1"/>
    </xf>
    <xf numFmtId="0" fontId="145" fillId="32" borderId="315" xfId="49352" applyNumberFormat="1" applyFont="1" applyFill="1" applyBorder="1" applyAlignment="1">
      <alignment horizontal="center" wrapText="1"/>
    </xf>
    <xf numFmtId="0" fontId="145" fillId="32" borderId="315" xfId="49352" applyFont="1" applyFill="1" applyBorder="1" applyAlignment="1">
      <alignment horizontal="center" wrapText="1"/>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514350</xdr:colOff>
          <xdr:row>4</xdr:row>
          <xdr:rowOff>161925</xdr:rowOff>
        </xdr:from>
        <xdr:to>
          <xdr:col>0</xdr:col>
          <xdr:colOff>6343650</xdr:colOff>
          <xdr:row>49</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0.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5" t="s">
        <v>0</v>
      </c>
      <c r="B1" s="575"/>
      <c r="C1" s="575"/>
      <c r="D1" s="575"/>
      <c r="E1" s="575"/>
    </row>
    <row r="2" spans="1:5" ht="23.25">
      <c r="A2" s="575" t="s">
        <v>722</v>
      </c>
      <c r="B2" s="575"/>
      <c r="C2" s="575"/>
      <c r="D2" s="575"/>
      <c r="E2" s="575"/>
    </row>
    <row r="3" spans="1:5" ht="21" customHeight="1">
      <c r="A3" s="575" t="s">
        <v>1</v>
      </c>
      <c r="B3" s="575"/>
      <c r="C3" s="575"/>
      <c r="D3" s="575"/>
      <c r="E3" s="575"/>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5" t="s">
        <v>10</v>
      </c>
      <c r="B7" s="1126"/>
      <c r="C7" s="1127" t="s">
        <v>10</v>
      </c>
      <c r="D7" s="1125" t="s">
        <v>10</v>
      </c>
      <c r="E7" s="1129" t="s">
        <v>10</v>
      </c>
    </row>
    <row r="8" spans="1:5" s="3" customFormat="1" ht="20.100000000000001" customHeight="1">
      <c r="A8" s="1125"/>
      <c r="B8" s="1126"/>
      <c r="C8" s="1127"/>
      <c r="D8" s="1125"/>
      <c r="E8" s="1129"/>
    </row>
    <row r="9" spans="1:5" s="3" customFormat="1" ht="20.100000000000001" customHeight="1">
      <c r="A9" s="1128"/>
      <c r="B9" s="1130"/>
      <c r="C9" s="1127"/>
      <c r="D9" s="1135"/>
      <c r="E9" s="1129"/>
    </row>
    <row r="10" spans="1:5" s="3" customFormat="1" ht="20.100000000000001" customHeight="1">
      <c r="A10" s="1131" t="s">
        <v>9</v>
      </c>
      <c r="B10" s="1132"/>
      <c r="C10" s="1133" t="s">
        <v>10</v>
      </c>
      <c r="D10" s="1133"/>
      <c r="E10" s="1133" t="s">
        <v>10</v>
      </c>
    </row>
    <row r="11" spans="1:5" s="3" customFormat="1" ht="20.100000000000001" customHeight="1">
      <c r="A11" s="1131"/>
      <c r="B11" s="1132"/>
      <c r="C11" s="1132"/>
      <c r="D11" s="1133"/>
      <c r="E11" s="1132"/>
    </row>
    <row r="12" spans="1:5" ht="20.100000000000001" customHeight="1">
      <c r="A12" s="1132"/>
      <c r="B12" s="1132"/>
      <c r="C12" s="1132"/>
      <c r="D12" s="1133"/>
      <c r="E12" s="1132"/>
    </row>
    <row r="13" spans="1:5" ht="20.100000000000001" customHeight="1">
      <c r="A13" s="1134" t="s">
        <v>10</v>
      </c>
      <c r="B13" s="1132"/>
      <c r="C13" s="1132"/>
      <c r="D13" s="1133"/>
      <c r="E13" s="1132"/>
    </row>
    <row r="14" spans="1:5" ht="20.100000000000001" customHeight="1">
      <c r="A14" s="1134"/>
      <c r="B14" s="1132"/>
      <c r="C14" s="1132"/>
      <c r="D14" s="1136"/>
      <c r="E14" s="1132"/>
    </row>
    <row r="15" spans="1:5" ht="20.100000000000001" customHeight="1">
      <c r="A15" s="1134"/>
      <c r="B15" s="1132"/>
      <c r="C15" s="1132"/>
      <c r="D15" s="1136"/>
      <c r="E15" s="1132"/>
    </row>
    <row r="16" spans="1:5" ht="20.100000000000001" customHeight="1">
      <c r="A16" s="1134"/>
      <c r="B16" s="1132"/>
      <c r="C16" s="1132"/>
      <c r="D16" s="1136"/>
      <c r="E16" s="1132"/>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headerFooter alignWithMargins="0">
    <oddFooter>&amp;L&amp;Z&amp;F&amp;R&amp;D</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zoomScale="70" zoomScaleNormal="70" zoomScalePageLayoutView="70" workbookViewId="0"/>
  </sheetViews>
  <sheetFormatPr defaultColWidth="8.85546875" defaultRowHeight="12.75"/>
  <cols>
    <col min="1" max="1" width="109" customWidth="1"/>
  </cols>
  <sheetData>
    <row r="1" spans="1:10" ht="22.35" customHeight="1">
      <c r="A1" s="582" t="s">
        <v>11</v>
      </c>
      <c r="B1" s="578"/>
      <c r="C1" s="578"/>
      <c r="D1" s="578"/>
      <c r="E1" s="578"/>
      <c r="F1" s="578"/>
      <c r="G1" s="578"/>
      <c r="H1" s="578"/>
      <c r="I1" s="578"/>
      <c r="J1" s="578"/>
    </row>
    <row r="2" spans="1:10" ht="22.35" customHeight="1">
      <c r="A2" s="582" t="s">
        <v>730</v>
      </c>
      <c r="B2" s="578"/>
      <c r="C2" s="578"/>
      <c r="D2" s="578"/>
      <c r="E2" s="578"/>
      <c r="F2" s="578"/>
      <c r="G2" s="578"/>
      <c r="H2" s="578"/>
      <c r="I2" s="578"/>
      <c r="J2" s="578"/>
    </row>
    <row r="3" spans="1:10" ht="22.35" customHeight="1">
      <c r="A3" s="582" t="s">
        <v>12</v>
      </c>
      <c r="B3" s="578"/>
      <c r="C3" s="578"/>
      <c r="D3" s="578"/>
      <c r="E3" s="578"/>
      <c r="F3" s="578"/>
      <c r="G3" s="578"/>
      <c r="H3" s="578"/>
      <c r="I3" s="578"/>
      <c r="J3" s="578"/>
    </row>
    <row r="4" spans="1:10" ht="26.45" customHeight="1">
      <c r="A4" s="583" t="s">
        <v>13</v>
      </c>
      <c r="B4" s="584"/>
      <c r="C4" s="584"/>
      <c r="D4" s="584"/>
      <c r="E4" s="584"/>
      <c r="F4" s="584"/>
      <c r="G4" s="584"/>
      <c r="H4" s="584"/>
      <c r="I4" s="584"/>
      <c r="J4" s="584"/>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514350</xdr:colOff>
                <xdr:row>4</xdr:row>
                <xdr:rowOff>161925</xdr:rowOff>
              </from>
              <to>
                <xdr:col>0</xdr:col>
                <xdr:colOff>6343650</xdr:colOff>
                <xdr:row>49</xdr:row>
                <xdr:rowOff>142875</xdr:rowOff>
              </to>
            </anchor>
          </objectPr>
        </oleObject>
      </mc:Choice>
      <mc:Fallback>
        <oleObject progId="Acrobat.Document.DC" shapeId="2051" r:id="rId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topLeftCell="A115" zoomScale="60" zoomScaleNormal="60" zoomScalePageLayoutView="80" workbookViewId="0"/>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6" t="s">
        <v>14</v>
      </c>
      <c r="B1" s="986"/>
      <c r="C1" s="986"/>
      <c r="D1" s="986"/>
      <c r="E1" s="10"/>
    </row>
    <row r="2" spans="1:10" ht="33.6" customHeight="1" thickBot="1">
      <c r="A2" s="993" t="s">
        <v>15</v>
      </c>
      <c r="B2" s="993"/>
      <c r="C2" s="993"/>
      <c r="D2" s="993"/>
    </row>
    <row r="3" spans="1:10" ht="25.35" customHeight="1" thickBot="1">
      <c r="A3" s="56"/>
      <c r="B3" s="57" t="s">
        <v>789</v>
      </c>
      <c r="C3" s="58"/>
      <c r="D3" s="67"/>
      <c r="E3" s="66"/>
    </row>
    <row r="4" spans="1:10" ht="25.35" customHeight="1" thickBot="1">
      <c r="A4" s="56">
        <v>1</v>
      </c>
      <c r="B4" s="46">
        <v>2</v>
      </c>
      <c r="C4" s="46">
        <v>3</v>
      </c>
      <c r="D4" s="46">
        <v>4</v>
      </c>
      <c r="E4" s="13"/>
    </row>
    <row r="5" spans="1:10" ht="44.1" customHeight="1" thickBot="1">
      <c r="A5" s="32" t="s">
        <v>16</v>
      </c>
      <c r="B5" s="1027" t="s">
        <v>757</v>
      </c>
      <c r="C5" s="1028"/>
      <c r="D5" s="1029"/>
      <c r="E5" s="563" t="s">
        <v>10</v>
      </c>
      <c r="F5" s="13"/>
    </row>
    <row r="6" spans="1:10" ht="89.1" customHeight="1" thickBot="1">
      <c r="A6" s="280" t="s">
        <v>17</v>
      </c>
      <c r="B6" s="55" t="s">
        <v>765</v>
      </c>
      <c r="C6" s="17" t="s">
        <v>18</v>
      </c>
      <c r="D6" s="70" t="s">
        <v>19</v>
      </c>
      <c r="F6" s="13"/>
    </row>
    <row r="7" spans="1:10" ht="25.35" customHeight="1">
      <c r="A7" s="397" t="s">
        <v>20</v>
      </c>
      <c r="B7" s="906">
        <v>46135825</v>
      </c>
      <c r="C7" s="1105">
        <v>8965209</v>
      </c>
      <c r="D7" s="75">
        <f t="shared" ref="D7:D34" si="0">SUM(B7:C7)</f>
        <v>55101034</v>
      </c>
      <c r="E7" s="421"/>
      <c r="F7" s="422"/>
      <c r="G7" s="42"/>
      <c r="I7" s="42"/>
      <c r="J7" s="42"/>
    </row>
    <row r="8" spans="1:10" ht="25.35" customHeight="1">
      <c r="A8" s="377" t="s">
        <v>21</v>
      </c>
      <c r="B8" s="1082">
        <v>98690418</v>
      </c>
      <c r="C8" s="1105">
        <v>17967796</v>
      </c>
      <c r="D8" s="68">
        <f t="shared" si="0"/>
        <v>116658214</v>
      </c>
      <c r="E8" s="399"/>
      <c r="F8" s="42"/>
      <c r="G8" s="42"/>
      <c r="I8" s="42"/>
      <c r="J8" s="42"/>
    </row>
    <row r="9" spans="1:10" ht="25.35" customHeight="1">
      <c r="A9" s="377" t="s">
        <v>22</v>
      </c>
      <c r="B9" s="907">
        <v>36635655</v>
      </c>
      <c r="C9" s="1105">
        <v>5132576</v>
      </c>
      <c r="D9" s="68">
        <f t="shared" si="0"/>
        <v>41768231</v>
      </c>
      <c r="E9" s="399"/>
      <c r="F9" s="42"/>
      <c r="G9" s="42"/>
      <c r="I9" s="42"/>
      <c r="J9" s="42"/>
    </row>
    <row r="10" spans="1:10" ht="25.35" customHeight="1">
      <c r="A10" s="377" t="s">
        <v>23</v>
      </c>
      <c r="B10" s="907">
        <v>13538708</v>
      </c>
      <c r="C10" s="1105">
        <v>2823123</v>
      </c>
      <c r="D10" s="68">
        <f t="shared" si="0"/>
        <v>16361831</v>
      </c>
      <c r="E10" s="399"/>
      <c r="F10" s="42"/>
      <c r="G10" s="42"/>
      <c r="I10" s="42"/>
      <c r="J10" s="42"/>
    </row>
    <row r="11" spans="1:10" ht="25.35" customHeight="1">
      <c r="A11" s="377" t="s">
        <v>24</v>
      </c>
      <c r="B11" s="907">
        <v>51701935</v>
      </c>
      <c r="C11" s="1105">
        <v>10787451</v>
      </c>
      <c r="D11" s="68">
        <f t="shared" si="0"/>
        <v>62489386</v>
      </c>
      <c r="E11" s="399"/>
      <c r="F11" s="42"/>
      <c r="G11" s="42"/>
      <c r="I11" s="42"/>
      <c r="J11" s="42"/>
    </row>
    <row r="12" spans="1:10" ht="25.35" customHeight="1">
      <c r="A12" s="377" t="s">
        <v>25</v>
      </c>
      <c r="B12" s="907">
        <v>46933805</v>
      </c>
      <c r="C12" s="1105">
        <v>6873089</v>
      </c>
      <c r="D12" s="68">
        <f t="shared" si="0"/>
        <v>53806894</v>
      </c>
      <c r="E12" s="399"/>
      <c r="F12" s="42"/>
      <c r="G12" s="42"/>
      <c r="I12" s="42"/>
      <c r="J12" s="42"/>
    </row>
    <row r="13" spans="1:10" ht="25.35" customHeight="1">
      <c r="A13" s="377" t="s">
        <v>26</v>
      </c>
      <c r="B13" s="907">
        <v>76188848</v>
      </c>
      <c r="C13" s="1105">
        <v>16150515</v>
      </c>
      <c r="D13" s="68">
        <f t="shared" si="0"/>
        <v>92339363</v>
      </c>
      <c r="E13" s="399"/>
      <c r="F13" s="42"/>
      <c r="G13" s="42"/>
      <c r="I13" s="42"/>
      <c r="J13" s="42"/>
    </row>
    <row r="14" spans="1:10" ht="25.35" customHeight="1">
      <c r="A14" s="377" t="s">
        <v>27</v>
      </c>
      <c r="B14" s="907">
        <v>10190230</v>
      </c>
      <c r="C14" s="1105">
        <v>1455245</v>
      </c>
      <c r="D14" s="68">
        <f t="shared" si="0"/>
        <v>11645475</v>
      </c>
      <c r="E14" s="399"/>
      <c r="F14" s="42"/>
      <c r="G14" s="42"/>
      <c r="I14" s="42"/>
      <c r="J14" s="42"/>
    </row>
    <row r="15" spans="1:10" ht="25.35" customHeight="1">
      <c r="A15" s="377" t="s">
        <v>28</v>
      </c>
      <c r="B15" s="907">
        <v>23425463</v>
      </c>
      <c r="C15" s="1105">
        <v>4601687</v>
      </c>
      <c r="D15" s="68">
        <f t="shared" si="0"/>
        <v>28027150</v>
      </c>
      <c r="E15" s="399"/>
      <c r="F15" s="42"/>
      <c r="G15" s="42"/>
      <c r="I15" s="42"/>
      <c r="J15" s="42"/>
    </row>
    <row r="16" spans="1:10" ht="25.35" customHeight="1">
      <c r="A16" s="377" t="s">
        <v>751</v>
      </c>
      <c r="B16" s="907">
        <v>78745180</v>
      </c>
      <c r="C16" s="1105">
        <v>12203027</v>
      </c>
      <c r="D16" s="68">
        <f t="shared" si="0"/>
        <v>90948207</v>
      </c>
      <c r="E16" s="399"/>
      <c r="F16" s="42"/>
      <c r="G16" s="42"/>
      <c r="I16" s="42"/>
      <c r="J16" s="42"/>
    </row>
    <row r="17" spans="1:10" ht="25.35" customHeight="1">
      <c r="A17" s="377" t="s">
        <v>29</v>
      </c>
      <c r="B17" s="907">
        <v>52058669</v>
      </c>
      <c r="C17" s="1105">
        <v>9889375</v>
      </c>
      <c r="D17" s="68">
        <f t="shared" si="0"/>
        <v>61948044</v>
      </c>
      <c r="E17" s="399"/>
      <c r="F17" s="42"/>
      <c r="G17" s="42"/>
      <c r="I17" s="42"/>
      <c r="J17" s="42"/>
    </row>
    <row r="18" spans="1:10" ht="25.35" customHeight="1">
      <c r="A18" s="377" t="s">
        <v>30</v>
      </c>
      <c r="B18" s="907">
        <v>17400443</v>
      </c>
      <c r="C18" s="1105">
        <v>2879216</v>
      </c>
      <c r="D18" s="68">
        <f t="shared" si="0"/>
        <v>20279659</v>
      </c>
      <c r="E18" s="399"/>
      <c r="F18" s="42"/>
      <c r="G18" s="42"/>
      <c r="I18" s="42"/>
      <c r="J18" s="42"/>
    </row>
    <row r="19" spans="1:10" ht="25.35" customHeight="1">
      <c r="A19" s="377" t="s">
        <v>31</v>
      </c>
      <c r="B19" s="907">
        <v>22308723</v>
      </c>
      <c r="C19" s="1105">
        <v>2829107</v>
      </c>
      <c r="D19" s="68">
        <f t="shared" si="0"/>
        <v>25137830</v>
      </c>
      <c r="E19" s="399"/>
      <c r="F19" s="42"/>
      <c r="G19" s="42"/>
      <c r="I19" s="42"/>
      <c r="J19" s="42"/>
    </row>
    <row r="20" spans="1:10" ht="25.35" customHeight="1">
      <c r="A20" s="377" t="s">
        <v>32</v>
      </c>
      <c r="B20" s="907">
        <v>31804903</v>
      </c>
      <c r="C20" s="1105">
        <v>4767012</v>
      </c>
      <c r="D20" s="68">
        <f t="shared" si="0"/>
        <v>36571915</v>
      </c>
      <c r="E20" s="399"/>
      <c r="F20" s="42"/>
      <c r="G20" s="42"/>
      <c r="H20" s="42"/>
      <c r="I20" s="42"/>
      <c r="J20" s="42"/>
    </row>
    <row r="21" spans="1:10" ht="25.35" customHeight="1">
      <c r="A21" s="377" t="s">
        <v>33</v>
      </c>
      <c r="B21" s="907">
        <v>202832113</v>
      </c>
      <c r="C21" s="1105">
        <v>36438801</v>
      </c>
      <c r="D21" s="68">
        <f t="shared" si="0"/>
        <v>239270914</v>
      </c>
      <c r="E21" s="399"/>
      <c r="F21" s="42"/>
      <c r="G21" s="42"/>
      <c r="I21" s="42"/>
      <c r="J21" s="42"/>
    </row>
    <row r="22" spans="1:10" ht="25.35" customHeight="1">
      <c r="A22" s="377" t="s">
        <v>34</v>
      </c>
      <c r="B22" s="907">
        <v>10454571</v>
      </c>
      <c r="C22" s="1105">
        <v>1533902</v>
      </c>
      <c r="D22" s="68">
        <f t="shared" si="0"/>
        <v>11988473</v>
      </c>
      <c r="E22" s="399"/>
      <c r="F22" s="42"/>
      <c r="G22" s="42"/>
      <c r="I22" s="42"/>
      <c r="J22" s="42"/>
    </row>
    <row r="23" spans="1:10" ht="25.35" customHeight="1">
      <c r="A23" s="377" t="s">
        <v>35</v>
      </c>
      <c r="B23" s="907">
        <v>26088800</v>
      </c>
      <c r="C23" s="1105">
        <v>4053149</v>
      </c>
      <c r="D23" s="68">
        <f t="shared" si="0"/>
        <v>30141949</v>
      </c>
      <c r="E23" s="399"/>
      <c r="F23" s="42"/>
      <c r="G23" s="42"/>
      <c r="I23" s="42"/>
      <c r="J23" s="42"/>
    </row>
    <row r="24" spans="1:10" ht="25.35" customHeight="1">
      <c r="A24" s="377" t="s">
        <v>36</v>
      </c>
      <c r="B24" s="907">
        <v>72521516</v>
      </c>
      <c r="C24" s="1105">
        <v>12221593</v>
      </c>
      <c r="D24" s="68">
        <f t="shared" si="0"/>
        <v>84743109</v>
      </c>
      <c r="E24" s="399"/>
      <c r="F24" s="42"/>
      <c r="G24" s="42"/>
      <c r="I24" s="42"/>
      <c r="J24" s="42"/>
    </row>
    <row r="25" spans="1:10" ht="25.35" customHeight="1">
      <c r="A25" s="377" t="s">
        <v>37</v>
      </c>
      <c r="B25" s="907">
        <v>45643999</v>
      </c>
      <c r="C25" s="1105">
        <v>5900984</v>
      </c>
      <c r="D25" s="68">
        <f t="shared" si="0"/>
        <v>51544983</v>
      </c>
      <c r="E25" s="399"/>
      <c r="F25" s="42"/>
      <c r="G25" s="42"/>
      <c r="I25" s="42"/>
      <c r="J25" s="42"/>
    </row>
    <row r="26" spans="1:10" ht="25.35" customHeight="1">
      <c r="A26" s="377" t="s">
        <v>38</v>
      </c>
      <c r="B26" s="907">
        <v>56025336</v>
      </c>
      <c r="C26" s="1105">
        <v>7318283</v>
      </c>
      <c r="D26" s="68">
        <f t="shared" si="0"/>
        <v>63343619</v>
      </c>
      <c r="E26" s="399"/>
      <c r="F26" s="42"/>
      <c r="G26" s="42"/>
      <c r="I26" s="42"/>
      <c r="J26" s="42"/>
    </row>
    <row r="27" spans="1:10" ht="25.35" customHeight="1">
      <c r="A27" s="377" t="s">
        <v>39</v>
      </c>
      <c r="B27" s="907">
        <v>45068196</v>
      </c>
      <c r="C27" s="1105">
        <v>5998631</v>
      </c>
      <c r="D27" s="68">
        <f t="shared" si="0"/>
        <v>51066827</v>
      </c>
      <c r="E27" s="399"/>
      <c r="F27" s="42"/>
      <c r="G27" s="42"/>
      <c r="I27" s="42"/>
      <c r="J27" s="42"/>
    </row>
    <row r="28" spans="1:10" ht="25.35" customHeight="1">
      <c r="A28" s="377" t="s">
        <v>40</v>
      </c>
      <c r="B28" s="907">
        <v>32205772</v>
      </c>
      <c r="C28" s="1105">
        <v>4092028</v>
      </c>
      <c r="D28" s="68">
        <f t="shared" si="0"/>
        <v>36297800</v>
      </c>
      <c r="E28" s="399"/>
      <c r="F28" s="42"/>
      <c r="G28" s="42"/>
      <c r="I28" s="42"/>
      <c r="J28" s="42"/>
    </row>
    <row r="29" spans="1:10" ht="25.35" customHeight="1">
      <c r="A29" s="377" t="s">
        <v>41</v>
      </c>
      <c r="B29" s="907">
        <v>81244931</v>
      </c>
      <c r="C29" s="1105">
        <v>14666330</v>
      </c>
      <c r="D29" s="68">
        <f t="shared" si="0"/>
        <v>95911261</v>
      </c>
      <c r="E29" s="399"/>
      <c r="F29" s="42"/>
      <c r="G29" s="42"/>
      <c r="I29" s="42"/>
      <c r="J29" s="42"/>
    </row>
    <row r="30" spans="1:10" ht="25.35" customHeight="1">
      <c r="A30" s="377" t="s">
        <v>42</v>
      </c>
      <c r="B30" s="907">
        <v>48685389</v>
      </c>
      <c r="C30" s="1105">
        <v>7445833</v>
      </c>
      <c r="D30" s="68">
        <f t="shared" si="0"/>
        <v>56131222</v>
      </c>
      <c r="E30" s="399"/>
      <c r="F30" s="42"/>
      <c r="G30" s="42"/>
      <c r="I30" s="42"/>
      <c r="J30" s="42"/>
    </row>
    <row r="31" spans="1:10" ht="25.35" customHeight="1">
      <c r="A31" s="377" t="s">
        <v>43</v>
      </c>
      <c r="B31" s="907">
        <v>50687169</v>
      </c>
      <c r="C31" s="1105">
        <v>8021591</v>
      </c>
      <c r="D31" s="68">
        <f t="shared" si="0"/>
        <v>58708760</v>
      </c>
      <c r="E31" s="399"/>
      <c r="F31" s="42"/>
      <c r="G31" s="42"/>
      <c r="I31" s="42"/>
      <c r="J31" s="42"/>
    </row>
    <row r="32" spans="1:10" ht="25.35" customHeight="1">
      <c r="A32" s="377" t="s">
        <v>44</v>
      </c>
      <c r="B32" s="907">
        <v>23017517</v>
      </c>
      <c r="C32" s="1105">
        <v>3443580</v>
      </c>
      <c r="D32" s="68">
        <f t="shared" si="0"/>
        <v>26461097</v>
      </c>
      <c r="E32" s="399"/>
      <c r="F32" s="42"/>
      <c r="G32" s="42"/>
      <c r="I32" s="42" t="s">
        <v>45</v>
      </c>
      <c r="J32" s="42"/>
    </row>
    <row r="33" spans="1:12" ht="25.35" customHeight="1">
      <c r="A33" s="377" t="s">
        <v>699</v>
      </c>
      <c r="B33" s="907">
        <v>39674794</v>
      </c>
      <c r="C33" s="1105">
        <v>6698176</v>
      </c>
      <c r="D33" s="68">
        <f t="shared" si="0"/>
        <v>46372970</v>
      </c>
      <c r="E33" s="399"/>
      <c r="F33" s="42"/>
      <c r="G33" s="42"/>
      <c r="I33" s="399"/>
      <c r="J33" s="42"/>
      <c r="K33" s="399"/>
    </row>
    <row r="34" spans="1:12" ht="25.35" customHeight="1" thickBot="1">
      <c r="A34" s="378" t="s">
        <v>46</v>
      </c>
      <c r="B34" s="907">
        <v>130572783</v>
      </c>
      <c r="C34" s="1105">
        <v>14571108</v>
      </c>
      <c r="D34" s="69">
        <f t="shared" si="0"/>
        <v>145143891</v>
      </c>
      <c r="E34" s="399"/>
      <c r="F34" s="42"/>
      <c r="G34" s="42"/>
      <c r="I34" s="399"/>
      <c r="J34" s="42"/>
      <c r="K34" s="399"/>
    </row>
    <row r="35" spans="1:12" ht="25.35" customHeight="1" thickBot="1">
      <c r="A35" s="379" t="s">
        <v>47</v>
      </c>
      <c r="B35" s="418">
        <f>SUM(B7:B34)</f>
        <v>1470481691</v>
      </c>
      <c r="C35" s="418">
        <f>SUM(C7:C34)</f>
        <v>239728417</v>
      </c>
      <c r="D35" s="391">
        <f>SUM(D7:D34)</f>
        <v>1710210108</v>
      </c>
      <c r="E35" s="419"/>
      <c r="F35" s="42"/>
      <c r="G35" s="42"/>
      <c r="H35" s="42"/>
      <c r="I35" s="399"/>
      <c r="J35" s="42"/>
      <c r="K35" s="399"/>
      <c r="L35" s="400"/>
    </row>
    <row r="36" spans="1:12" ht="19.350000000000001" customHeight="1">
      <c r="A36" s="1165" t="s">
        <v>48</v>
      </c>
      <c r="B36" s="1030"/>
      <c r="C36" s="1030"/>
      <c r="D36" s="1030"/>
      <c r="E36" s="462"/>
      <c r="K36" s="399"/>
    </row>
    <row r="37" spans="1:12" ht="27.75" customHeight="1">
      <c r="A37" s="1164" t="s">
        <v>766</v>
      </c>
      <c r="B37" s="821"/>
      <c r="C37" s="821"/>
      <c r="D37" s="821"/>
      <c r="E37" s="461"/>
      <c r="K37" s="399"/>
    </row>
    <row r="38" spans="1:12" s="1162" customFormat="1" ht="29.25" customHeight="1">
      <c r="A38" s="1166" t="s">
        <v>767</v>
      </c>
      <c r="B38" s="1031"/>
      <c r="C38" s="1031"/>
      <c r="D38" s="1031"/>
      <c r="E38" s="1161"/>
      <c r="K38" s="1163"/>
    </row>
    <row r="39" spans="1:12" ht="36.6" hidden="1" customHeight="1" thickBot="1">
      <c r="A39" s="456" t="s">
        <v>15</v>
      </c>
      <c r="B39" s="457"/>
      <c r="C39" s="457"/>
      <c r="K39" s="163"/>
    </row>
    <row r="40" spans="1:12" ht="24" hidden="1" customHeight="1" thickBot="1">
      <c r="A40" s="38" t="s">
        <v>759</v>
      </c>
      <c r="B40" s="1167" t="s">
        <v>787</v>
      </c>
      <c r="C40" s="1168"/>
      <c r="D40" s="903"/>
      <c r="E40" s="904"/>
      <c r="F40" s="11" t="s">
        <v>10</v>
      </c>
      <c r="K40" s="163"/>
    </row>
    <row r="41" spans="1:12" ht="22.35" hidden="1" customHeight="1" thickBot="1">
      <c r="A41" s="39">
        <v>1</v>
      </c>
      <c r="B41" s="46">
        <v>2</v>
      </c>
      <c r="C41" s="46">
        <v>3</v>
      </c>
      <c r="D41" s="46">
        <v>4</v>
      </c>
      <c r="E41" s="46">
        <v>5</v>
      </c>
    </row>
    <row r="42" spans="1:12" ht="24.6" hidden="1" customHeight="1" thickBot="1">
      <c r="A42" s="34" t="s">
        <v>17</v>
      </c>
      <c r="B42" s="43" t="s">
        <v>49</v>
      </c>
      <c r="C42" s="44" t="s">
        <v>50</v>
      </c>
      <c r="D42" s="45" t="s">
        <v>51</v>
      </c>
      <c r="E42" s="380" t="s">
        <v>52</v>
      </c>
    </row>
    <row r="43" spans="1:12" ht="126" hidden="1">
      <c r="A43" s="909" t="str">
        <f>A10</f>
        <v>Chipola College</v>
      </c>
      <c r="B43" s="595" t="s">
        <v>768</v>
      </c>
      <c r="C43" s="596"/>
      <c r="D43" s="596"/>
      <c r="E43" s="597">
        <f t="shared" ref="E43:E60" si="1">C43+D43</f>
        <v>0</v>
      </c>
    </row>
    <row r="44" spans="1:12" ht="63" hidden="1">
      <c r="A44" s="910" t="s">
        <v>22</v>
      </c>
      <c r="B44" s="598" t="s">
        <v>769</v>
      </c>
      <c r="C44" s="596"/>
      <c r="D44" s="596"/>
      <c r="E44" s="597">
        <f t="shared" si="1"/>
        <v>0</v>
      </c>
    </row>
    <row r="45" spans="1:12" ht="47.25" hidden="1" customHeight="1">
      <c r="A45" s="908" t="s">
        <v>24</v>
      </c>
      <c r="B45" s="598" t="s">
        <v>784</v>
      </c>
      <c r="C45" s="596"/>
      <c r="D45" s="596"/>
      <c r="E45" s="597">
        <f t="shared" si="1"/>
        <v>0</v>
      </c>
    </row>
    <row r="46" spans="1:12" ht="84.75" hidden="1" customHeight="1">
      <c r="A46" s="908" t="s">
        <v>24</v>
      </c>
      <c r="B46" s="983" t="s">
        <v>770</v>
      </c>
      <c r="C46" s="984"/>
      <c r="D46" s="984"/>
      <c r="E46" s="597">
        <f t="shared" si="1"/>
        <v>0</v>
      </c>
    </row>
    <row r="47" spans="1:12" ht="84.75" hidden="1" customHeight="1">
      <c r="A47" s="908" t="s">
        <v>698</v>
      </c>
      <c r="B47" s="983" t="s">
        <v>771</v>
      </c>
      <c r="C47" s="984"/>
      <c r="D47" s="984"/>
      <c r="E47" s="597">
        <f t="shared" si="1"/>
        <v>0</v>
      </c>
      <c r="G47" s="155" t="s">
        <v>10</v>
      </c>
    </row>
    <row r="48" spans="1:12" ht="66" hidden="1" customHeight="1">
      <c r="A48" s="908" t="s">
        <v>751</v>
      </c>
      <c r="B48" s="983" t="s">
        <v>785</v>
      </c>
      <c r="C48" s="984"/>
      <c r="D48" s="984"/>
      <c r="E48" s="597">
        <f t="shared" si="1"/>
        <v>0</v>
      </c>
      <c r="G48" s="155"/>
    </row>
    <row r="49" spans="1:5" ht="62.45" hidden="1" customHeight="1">
      <c r="A49" s="908" t="s">
        <v>751</v>
      </c>
      <c r="B49" s="598" t="s">
        <v>772</v>
      </c>
      <c r="C49" s="596"/>
      <c r="D49" s="596"/>
      <c r="E49" s="597">
        <f t="shared" si="1"/>
        <v>0</v>
      </c>
    </row>
    <row r="50" spans="1:5" ht="43.5" hidden="1" customHeight="1">
      <c r="A50" s="908" t="s">
        <v>33</v>
      </c>
      <c r="B50" s="983" t="s">
        <v>773</v>
      </c>
      <c r="C50" s="984"/>
      <c r="D50" s="984"/>
      <c r="E50" s="597">
        <f t="shared" si="1"/>
        <v>0</v>
      </c>
    </row>
    <row r="51" spans="1:5" ht="62.45" hidden="1" customHeight="1">
      <c r="A51" s="1096" t="s">
        <v>35</v>
      </c>
      <c r="B51" s="983" t="s">
        <v>774</v>
      </c>
      <c r="C51" s="984"/>
      <c r="D51" s="984"/>
      <c r="E51" s="1081">
        <f t="shared" si="1"/>
        <v>0</v>
      </c>
    </row>
    <row r="52" spans="1:5" ht="62.45" hidden="1" customHeight="1" thickBot="1">
      <c r="A52" s="1101" t="s">
        <v>775</v>
      </c>
      <c r="B52" s="1102" t="s">
        <v>776</v>
      </c>
      <c r="C52" s="1103"/>
      <c r="D52" s="1103"/>
      <c r="E52" s="1104">
        <f t="shared" si="1"/>
        <v>0</v>
      </c>
    </row>
    <row r="53" spans="1:5" ht="62.45" hidden="1" customHeight="1" thickBot="1">
      <c r="A53" s="1169" t="s">
        <v>37</v>
      </c>
      <c r="B53" s="1170" t="s">
        <v>786</v>
      </c>
      <c r="C53" s="1171"/>
      <c r="D53" s="1171"/>
      <c r="E53" s="1104">
        <f t="shared" si="1"/>
        <v>0</v>
      </c>
    </row>
    <row r="54" spans="1:5" ht="62.45" hidden="1" customHeight="1" thickBot="1">
      <c r="A54" s="1101" t="s">
        <v>37</v>
      </c>
      <c r="B54" s="1102" t="s">
        <v>777</v>
      </c>
      <c r="C54" s="1103"/>
      <c r="D54" s="1103"/>
      <c r="E54" s="1104">
        <f t="shared" si="1"/>
        <v>0</v>
      </c>
    </row>
    <row r="55" spans="1:5" ht="62.45" hidden="1" customHeight="1" thickBot="1">
      <c r="A55" s="1169" t="s">
        <v>38</v>
      </c>
      <c r="B55" s="1170" t="s">
        <v>778</v>
      </c>
      <c r="C55" s="1171"/>
      <c r="D55" s="1171"/>
      <c r="E55" s="1172">
        <f t="shared" si="1"/>
        <v>0</v>
      </c>
    </row>
    <row r="56" spans="1:5" ht="62.45" hidden="1" customHeight="1" thickBot="1">
      <c r="A56" s="1169" t="s">
        <v>43</v>
      </c>
      <c r="B56" s="1173" t="s">
        <v>779</v>
      </c>
      <c r="C56" s="1171"/>
      <c r="D56" s="1171"/>
      <c r="E56" s="1172">
        <f t="shared" si="1"/>
        <v>0</v>
      </c>
    </row>
    <row r="57" spans="1:5" ht="62.45" hidden="1" customHeight="1" thickBot="1">
      <c r="A57" s="1169" t="s">
        <v>44</v>
      </c>
      <c r="B57" s="1174" t="s">
        <v>780</v>
      </c>
      <c r="C57" s="1171"/>
      <c r="D57" s="1171"/>
      <c r="E57" s="1172">
        <f t="shared" si="1"/>
        <v>0</v>
      </c>
    </row>
    <row r="58" spans="1:5" ht="62.45" hidden="1" customHeight="1" thickBot="1">
      <c r="A58" s="1169" t="s">
        <v>44</v>
      </c>
      <c r="B58" s="1175" t="s">
        <v>781</v>
      </c>
      <c r="C58" s="1171"/>
      <c r="D58" s="1171"/>
      <c r="E58" s="1172">
        <f t="shared" si="1"/>
        <v>0</v>
      </c>
    </row>
    <row r="59" spans="1:5" ht="62.45" hidden="1" customHeight="1" thickBot="1">
      <c r="A59" s="1169" t="s">
        <v>41</v>
      </c>
      <c r="B59" s="1175" t="s">
        <v>782</v>
      </c>
      <c r="C59" s="1171"/>
      <c r="D59" s="1171"/>
      <c r="E59" s="1172">
        <f t="shared" si="1"/>
        <v>0</v>
      </c>
    </row>
    <row r="60" spans="1:5" ht="62.45" hidden="1" customHeight="1" thickBot="1">
      <c r="A60" s="1169" t="s">
        <v>41</v>
      </c>
      <c r="B60" s="1175" t="s">
        <v>783</v>
      </c>
      <c r="C60" s="1171"/>
      <c r="D60" s="1171"/>
      <c r="E60" s="1172">
        <f t="shared" si="1"/>
        <v>0</v>
      </c>
    </row>
    <row r="61" spans="1:5" ht="24.6" hidden="1" customHeight="1" thickBot="1">
      <c r="A61" s="1097" t="s">
        <v>52</v>
      </c>
      <c r="B61" s="1098"/>
      <c r="C61" s="1099">
        <f>SUM(C43:C60)</f>
        <v>0</v>
      </c>
      <c r="D61" s="1099">
        <f>SUM(D43:D60)</f>
        <v>0</v>
      </c>
      <c r="E61" s="1100">
        <f>SUM(E43:E60)</f>
        <v>0</v>
      </c>
    </row>
    <row r="62" spans="1:5" ht="25.35" hidden="1" customHeight="1">
      <c r="A62" s="11" t="s">
        <v>53</v>
      </c>
    </row>
    <row r="63" spans="1:5" ht="25.35" customHeight="1">
      <c r="D63" s="42"/>
    </row>
    <row r="64" spans="1:5" ht="30.6" hidden="1" customHeight="1" thickBot="1">
      <c r="A64" s="456" t="s">
        <v>15</v>
      </c>
      <c r="B64" s="457"/>
      <c r="C64" s="457"/>
    </row>
    <row r="65" spans="1:7" ht="41.1" hidden="1" customHeight="1" thickBot="1">
      <c r="A65" s="39" t="s">
        <v>725</v>
      </c>
      <c r="B65" s="381" t="s">
        <v>700</v>
      </c>
      <c r="C65" s="10" t="s">
        <v>10</v>
      </c>
      <c r="D65" s="10"/>
    </row>
    <row r="66" spans="1:7" ht="69" hidden="1" customHeight="1" thickBot="1">
      <c r="A66" s="998" t="s">
        <v>701</v>
      </c>
      <c r="B66" s="999"/>
      <c r="C66" s="142"/>
    </row>
    <row r="67" spans="1:7" ht="37.35" hidden="1" customHeight="1" thickBot="1">
      <c r="A67" s="347" t="s">
        <v>17</v>
      </c>
      <c r="B67" s="442" t="s">
        <v>47</v>
      </c>
      <c r="D67" s="16"/>
    </row>
    <row r="68" spans="1:7" ht="25.35" hidden="1" customHeight="1" thickBot="1">
      <c r="A68" s="398" t="str">
        <f>A33</f>
        <v>Tallahassee State College</v>
      </c>
      <c r="B68" s="458">
        <v>0</v>
      </c>
      <c r="C68" s="155"/>
    </row>
    <row r="69" spans="1:7" ht="25.35" hidden="1" customHeight="1" thickBot="1">
      <c r="A69" s="369" t="s">
        <v>47</v>
      </c>
      <c r="B69" s="459">
        <f>SUM(B68:B68)</f>
        <v>0</v>
      </c>
      <c r="C69" s="382"/>
    </row>
    <row r="70" spans="1:7" ht="24.6" customHeight="1">
      <c r="A70" s="464"/>
      <c r="B70" s="463"/>
      <c r="C70" s="463"/>
    </row>
    <row r="71" spans="1:7" ht="32.1" customHeight="1" thickBot="1">
      <c r="A71" s="456" t="s">
        <v>54</v>
      </c>
      <c r="B71" s="457"/>
      <c r="C71" s="457"/>
    </row>
    <row r="72" spans="1:7" ht="44.45" customHeight="1" thickBot="1">
      <c r="A72" s="32" t="s">
        <v>756</v>
      </c>
      <c r="B72" s="1000" t="s">
        <v>755</v>
      </c>
      <c r="C72" s="1001"/>
      <c r="D72" s="1001"/>
      <c r="E72" s="1002"/>
      <c r="F72" s="12"/>
      <c r="G72" s="10"/>
    </row>
    <row r="73" spans="1:7" ht="87.6" customHeight="1" thickBot="1">
      <c r="A73" s="34" t="s">
        <v>17</v>
      </c>
      <c r="B73" s="18" t="s">
        <v>758</v>
      </c>
      <c r="C73" s="33" t="s">
        <v>55</v>
      </c>
      <c r="D73" s="19" t="s">
        <v>56</v>
      </c>
      <c r="E73" s="20" t="s">
        <v>57</v>
      </c>
      <c r="F73" s="18" t="s">
        <v>58</v>
      </c>
    </row>
    <row r="74" spans="1:7" ht="25.35" customHeight="1">
      <c r="A74" s="599" t="str">
        <f t="shared" ref="A74:A101" si="2">A7</f>
        <v>Eastern Florida State College</v>
      </c>
      <c r="B74" s="401">
        <v>25165552.721059371</v>
      </c>
      <c r="C74" s="401">
        <f t="shared" ref="C74:C101" si="3">B74*0.05</f>
        <v>1258277.6360529687</v>
      </c>
      <c r="D74" s="1036">
        <f t="shared" ref="D74:D101" si="4">IF(C74&gt;500000,0,1)</f>
        <v>0</v>
      </c>
      <c r="E74" s="402">
        <f t="shared" ref="E74:E101" si="5">IF(D74&lt;1,0,B74*0.02)</f>
        <v>0</v>
      </c>
      <c r="F74" s="401">
        <f>C74+E74</f>
        <v>1258277.6360529687</v>
      </c>
    </row>
    <row r="75" spans="1:7" ht="25.35" customHeight="1">
      <c r="A75" s="600" t="str">
        <f t="shared" si="2"/>
        <v>Broward College</v>
      </c>
      <c r="B75" s="14">
        <v>64528561.709258325</v>
      </c>
      <c r="C75" s="14">
        <f t="shared" si="3"/>
        <v>3226428.0854629166</v>
      </c>
      <c r="D75" s="14">
        <f t="shared" si="4"/>
        <v>0</v>
      </c>
      <c r="E75" s="14">
        <f t="shared" si="5"/>
        <v>0</v>
      </c>
      <c r="F75" s="14">
        <f t="shared" ref="F75:F101" si="6">C75+E75</f>
        <v>3226428.0854629166</v>
      </c>
    </row>
    <row r="76" spans="1:7" ht="25.35" customHeight="1">
      <c r="A76" s="600" t="str">
        <f t="shared" si="2"/>
        <v>College of Central Florida</v>
      </c>
      <c r="B76" s="14">
        <v>12440133.06095282</v>
      </c>
      <c r="C76" s="14">
        <f t="shared" si="3"/>
        <v>622006.65304764104</v>
      </c>
      <c r="D76" s="14">
        <f t="shared" si="4"/>
        <v>0</v>
      </c>
      <c r="E76" s="14">
        <f t="shared" si="5"/>
        <v>0</v>
      </c>
      <c r="F76" s="14">
        <f t="shared" si="6"/>
        <v>622006.65304764104</v>
      </c>
    </row>
    <row r="77" spans="1:7" ht="25.35" customHeight="1">
      <c r="A77" s="601" t="str">
        <f t="shared" si="2"/>
        <v>Chipola College</v>
      </c>
      <c r="B77" s="367">
        <v>2814641.3108255938</v>
      </c>
      <c r="C77" s="367">
        <f t="shared" si="3"/>
        <v>140732.06554127971</v>
      </c>
      <c r="D77" s="367">
        <f t="shared" si="4"/>
        <v>1</v>
      </c>
      <c r="E77" s="367">
        <f t="shared" si="5"/>
        <v>56292.826216511879</v>
      </c>
      <c r="F77" s="367">
        <f t="shared" si="6"/>
        <v>197024.89175779157</v>
      </c>
    </row>
    <row r="78" spans="1:7" ht="25.35" customHeight="1">
      <c r="A78" s="600" t="str">
        <f t="shared" si="2"/>
        <v>Daytona State College</v>
      </c>
      <c r="B78" s="14">
        <v>25101501.48281439</v>
      </c>
      <c r="C78" s="14">
        <f t="shared" si="3"/>
        <v>1255075.0741407196</v>
      </c>
      <c r="D78" s="14">
        <f t="shared" si="4"/>
        <v>0</v>
      </c>
      <c r="E78" s="14">
        <f t="shared" si="5"/>
        <v>0</v>
      </c>
      <c r="F78" s="14">
        <f t="shared" si="6"/>
        <v>1255075.0741407196</v>
      </c>
    </row>
    <row r="79" spans="1:7" ht="25.35" customHeight="1">
      <c r="A79" s="600" t="str">
        <f t="shared" si="2"/>
        <v>Florida SouthWestern State College</v>
      </c>
      <c r="B79" s="14">
        <v>25225252.802425653</v>
      </c>
      <c r="C79" s="14">
        <f t="shared" si="3"/>
        <v>1261262.6401212828</v>
      </c>
      <c r="D79" s="14">
        <f t="shared" si="4"/>
        <v>0</v>
      </c>
      <c r="E79" s="14">
        <f t="shared" si="5"/>
        <v>0</v>
      </c>
      <c r="F79" s="14">
        <f t="shared" si="6"/>
        <v>1261262.6401212828</v>
      </c>
    </row>
    <row r="80" spans="1:7" ht="25.35" customHeight="1">
      <c r="A80" s="600" t="str">
        <f t="shared" si="2"/>
        <v>Florida State College at Jacksonville</v>
      </c>
      <c r="B80" s="14">
        <v>43539281.018098854</v>
      </c>
      <c r="C80" s="14">
        <f t="shared" si="3"/>
        <v>2176964.0509049427</v>
      </c>
      <c r="D80" s="14">
        <f t="shared" si="4"/>
        <v>0</v>
      </c>
      <c r="E80" s="14">
        <f t="shared" si="5"/>
        <v>0</v>
      </c>
      <c r="F80" s="14">
        <f t="shared" si="6"/>
        <v>2176964.0509049427</v>
      </c>
    </row>
    <row r="81" spans="1:6" ht="25.35" customHeight="1">
      <c r="A81" s="601" t="str">
        <f t="shared" si="2"/>
        <v>College of the Florida Keys</v>
      </c>
      <c r="B81" s="367">
        <v>2746294.0294472799</v>
      </c>
      <c r="C81" s="367">
        <f t="shared" si="3"/>
        <v>137314.70147236399</v>
      </c>
      <c r="D81" s="367">
        <f t="shared" si="4"/>
        <v>1</v>
      </c>
      <c r="E81" s="367">
        <f t="shared" si="5"/>
        <v>54925.880588945598</v>
      </c>
      <c r="F81" s="367">
        <f t="shared" si="6"/>
        <v>192240.5820613096</v>
      </c>
    </row>
    <row r="82" spans="1:6" ht="25.35" customHeight="1">
      <c r="A82" s="601" t="str">
        <f t="shared" si="2"/>
        <v>Gulf Coast State College</v>
      </c>
      <c r="B82" s="367">
        <v>8376750.2649892215</v>
      </c>
      <c r="C82" s="367">
        <f t="shared" si="3"/>
        <v>418837.51324946107</v>
      </c>
      <c r="D82" s="367">
        <f t="shared" si="4"/>
        <v>1</v>
      </c>
      <c r="E82" s="367">
        <f t="shared" si="5"/>
        <v>167535.00529978445</v>
      </c>
      <c r="F82" s="367">
        <f t="shared" si="6"/>
        <v>586372.51854924555</v>
      </c>
    </row>
    <row r="83" spans="1:6" ht="25.35" customHeight="1">
      <c r="A83" s="600" t="str">
        <f t="shared" si="2"/>
        <v>Hillsborough College</v>
      </c>
      <c r="B83" s="14">
        <v>50477897.400374934</v>
      </c>
      <c r="C83" s="14">
        <f>B83*0.05</f>
        <v>2523894.8700187467</v>
      </c>
      <c r="D83" s="14">
        <f t="shared" si="4"/>
        <v>0</v>
      </c>
      <c r="E83" s="14">
        <f t="shared" si="5"/>
        <v>0</v>
      </c>
      <c r="F83" s="14">
        <f t="shared" si="6"/>
        <v>2523894.8700187467</v>
      </c>
    </row>
    <row r="84" spans="1:6" ht="25.35" customHeight="1">
      <c r="A84" s="600" t="str">
        <f t="shared" si="2"/>
        <v>Indian River State College</v>
      </c>
      <c r="B84" s="14">
        <v>25961423.506364446</v>
      </c>
      <c r="C84" s="14">
        <f t="shared" si="3"/>
        <v>1298071.1753182225</v>
      </c>
      <c r="D84" s="14">
        <f t="shared" si="4"/>
        <v>0</v>
      </c>
      <c r="E84" s="14">
        <f t="shared" si="5"/>
        <v>0</v>
      </c>
      <c r="F84" s="14">
        <f t="shared" si="6"/>
        <v>1298071.1753182225</v>
      </c>
    </row>
    <row r="85" spans="1:6" ht="25.35" customHeight="1">
      <c r="A85" s="601" t="str">
        <f t="shared" si="2"/>
        <v>Florida Gateway College</v>
      </c>
      <c r="B85" s="367">
        <v>5097365.4283460919</v>
      </c>
      <c r="C85" s="367">
        <f t="shared" si="3"/>
        <v>254868.27141730461</v>
      </c>
      <c r="D85" s="367">
        <f t="shared" si="4"/>
        <v>1</v>
      </c>
      <c r="E85" s="367">
        <f t="shared" si="5"/>
        <v>101947.30856692184</v>
      </c>
      <c r="F85" s="367">
        <f t="shared" si="6"/>
        <v>356815.57998422644</v>
      </c>
    </row>
    <row r="86" spans="1:6" ht="25.35" customHeight="1">
      <c r="A86" s="600" t="str">
        <f t="shared" si="2"/>
        <v>Lake-Sumter State College</v>
      </c>
      <c r="B86" s="14">
        <v>10889847.105480785</v>
      </c>
      <c r="C86" s="14">
        <f t="shared" si="3"/>
        <v>544492.3552740392</v>
      </c>
      <c r="D86" s="14">
        <f t="shared" si="4"/>
        <v>0</v>
      </c>
      <c r="E86" s="14">
        <f t="shared" si="5"/>
        <v>0</v>
      </c>
      <c r="F86" s="14">
        <f t="shared" si="6"/>
        <v>544492.3552740392</v>
      </c>
    </row>
    <row r="87" spans="1:6" ht="25.35" customHeight="1">
      <c r="A87" s="600" t="str">
        <f t="shared" si="2"/>
        <v>State College of Florida, Manatee-Sarasota</v>
      </c>
      <c r="B87" s="14">
        <v>17406350.955130555</v>
      </c>
      <c r="C87" s="14">
        <f t="shared" si="3"/>
        <v>870317.54775652778</v>
      </c>
      <c r="D87" s="14">
        <f t="shared" si="4"/>
        <v>0</v>
      </c>
      <c r="E87" s="14">
        <f t="shared" si="5"/>
        <v>0</v>
      </c>
      <c r="F87" s="14">
        <f t="shared" si="6"/>
        <v>870317.54775652778</v>
      </c>
    </row>
    <row r="88" spans="1:6" ht="25.35" customHeight="1">
      <c r="A88" s="600" t="str">
        <f t="shared" si="2"/>
        <v>Miami Dade College</v>
      </c>
      <c r="B88" s="14">
        <v>130774494.22147152</v>
      </c>
      <c r="C88" s="14">
        <f t="shared" si="3"/>
        <v>6538724.7110735765</v>
      </c>
      <c r="D88" s="14">
        <f t="shared" si="4"/>
        <v>0</v>
      </c>
      <c r="E88" s="14">
        <f t="shared" si="5"/>
        <v>0</v>
      </c>
      <c r="F88" s="14">
        <f t="shared" si="6"/>
        <v>6538724.7110735765</v>
      </c>
    </row>
    <row r="89" spans="1:6" ht="25.35" customHeight="1">
      <c r="A89" s="601" t="str">
        <f t="shared" si="2"/>
        <v>North Florida College</v>
      </c>
      <c r="B89" s="367">
        <v>1946909.6576149892</v>
      </c>
      <c r="C89" s="367">
        <f t="shared" si="3"/>
        <v>97345.482880749463</v>
      </c>
      <c r="D89" s="367">
        <f t="shared" si="4"/>
        <v>1</v>
      </c>
      <c r="E89" s="367">
        <f t="shared" si="5"/>
        <v>38938.193152299784</v>
      </c>
      <c r="F89" s="367">
        <f t="shared" si="6"/>
        <v>136283.67603304924</v>
      </c>
    </row>
    <row r="90" spans="1:6" ht="25.35" customHeight="1">
      <c r="A90" s="601" t="str">
        <f t="shared" si="2"/>
        <v>Northwest Florida State College</v>
      </c>
      <c r="B90" s="367">
        <v>8566615.1732038241</v>
      </c>
      <c r="C90" s="367">
        <f t="shared" si="3"/>
        <v>428330.7586601912</v>
      </c>
      <c r="D90" s="367">
        <f t="shared" si="4"/>
        <v>1</v>
      </c>
      <c r="E90" s="367">
        <f t="shared" si="5"/>
        <v>171332.30346407648</v>
      </c>
      <c r="F90" s="367">
        <f t="shared" si="6"/>
        <v>599663.06212426769</v>
      </c>
    </row>
    <row r="91" spans="1:6" ht="25.35" customHeight="1">
      <c r="A91" s="600" t="str">
        <f t="shared" si="2"/>
        <v>Palm Beach State College</v>
      </c>
      <c r="B91" s="14">
        <v>46946197.46757938</v>
      </c>
      <c r="C91" s="14">
        <f t="shared" si="3"/>
        <v>2347309.8733789693</v>
      </c>
      <c r="D91" s="14">
        <f t="shared" si="4"/>
        <v>0</v>
      </c>
      <c r="E91" s="14">
        <f t="shared" si="5"/>
        <v>0</v>
      </c>
      <c r="F91" s="14">
        <f t="shared" si="6"/>
        <v>2347309.8733789693</v>
      </c>
    </row>
    <row r="92" spans="1:6" ht="25.35" customHeight="1">
      <c r="A92" s="600" t="str">
        <f t="shared" si="2"/>
        <v>Pasco-Hernando State College</v>
      </c>
      <c r="B92" s="14">
        <v>13616408.071018731</v>
      </c>
      <c r="C92" s="14">
        <f t="shared" si="3"/>
        <v>680820.40355093661</v>
      </c>
      <c r="D92" s="14">
        <f t="shared" si="4"/>
        <v>0</v>
      </c>
      <c r="E92" s="14">
        <f t="shared" si="5"/>
        <v>0</v>
      </c>
      <c r="F92" s="14">
        <f t="shared" si="6"/>
        <v>680820.40355093661</v>
      </c>
    </row>
    <row r="93" spans="1:6" ht="25.35" customHeight="1">
      <c r="A93" s="600" t="str">
        <f t="shared" si="2"/>
        <v>Pensacola State College</v>
      </c>
      <c r="B93" s="14">
        <v>17915746.828453369</v>
      </c>
      <c r="C93" s="14">
        <f t="shared" si="3"/>
        <v>895787.34142266854</v>
      </c>
      <c r="D93" s="14">
        <f t="shared" si="4"/>
        <v>0</v>
      </c>
      <c r="E93" s="14">
        <f t="shared" si="5"/>
        <v>0</v>
      </c>
      <c r="F93" s="14">
        <f t="shared" si="6"/>
        <v>895787.34142266854</v>
      </c>
    </row>
    <row r="94" spans="1:6" ht="25.35" customHeight="1">
      <c r="A94" s="600" t="str">
        <f t="shared" si="2"/>
        <v>Polk State College</v>
      </c>
      <c r="B94" s="14">
        <v>15941903.277790094</v>
      </c>
      <c r="C94" s="14">
        <f t="shared" si="3"/>
        <v>797095.16388950474</v>
      </c>
      <c r="D94" s="14">
        <f t="shared" si="4"/>
        <v>0</v>
      </c>
      <c r="E94" s="14">
        <f t="shared" si="5"/>
        <v>0</v>
      </c>
      <c r="F94" s="14">
        <f t="shared" si="6"/>
        <v>797095.16388950474</v>
      </c>
    </row>
    <row r="95" spans="1:6" ht="25.35" customHeight="1">
      <c r="A95" s="601" t="str">
        <f t="shared" si="2"/>
        <v>St. Johns River State College</v>
      </c>
      <c r="B95" s="367">
        <v>9309553.6917010136</v>
      </c>
      <c r="C95" s="367">
        <f t="shared" si="3"/>
        <v>465477.68458505068</v>
      </c>
      <c r="D95" s="367">
        <f t="shared" si="4"/>
        <v>1</v>
      </c>
      <c r="E95" s="367">
        <f t="shared" si="5"/>
        <v>186191.07383402027</v>
      </c>
      <c r="F95" s="367">
        <f t="shared" si="6"/>
        <v>651668.75841907097</v>
      </c>
    </row>
    <row r="96" spans="1:6" ht="25.35" customHeight="1">
      <c r="A96" s="600" t="str">
        <f t="shared" si="2"/>
        <v>St. Petersburg College</v>
      </c>
      <c r="B96" s="14">
        <v>40931068.837396137</v>
      </c>
      <c r="C96" s="14">
        <f t="shared" si="3"/>
        <v>2046553.441869807</v>
      </c>
      <c r="D96" s="14">
        <f t="shared" si="4"/>
        <v>0</v>
      </c>
      <c r="E96" s="14">
        <f t="shared" si="5"/>
        <v>0</v>
      </c>
      <c r="F96" s="14">
        <f t="shared" si="6"/>
        <v>2046553.441869807</v>
      </c>
    </row>
    <row r="97" spans="1:37" ht="25.35" customHeight="1">
      <c r="A97" s="600" t="str">
        <f t="shared" si="2"/>
        <v>Santa Fe College</v>
      </c>
      <c r="B97" s="14">
        <v>28869103.322910879</v>
      </c>
      <c r="C97" s="14">
        <f t="shared" si="3"/>
        <v>1443455.166145544</v>
      </c>
      <c r="D97" s="14">
        <f t="shared" si="4"/>
        <v>0</v>
      </c>
      <c r="E97" s="14">
        <f t="shared" si="5"/>
        <v>0</v>
      </c>
      <c r="F97" s="14">
        <f t="shared" si="6"/>
        <v>1443455.166145544</v>
      </c>
    </row>
    <row r="98" spans="1:37" ht="25.35" customHeight="1">
      <c r="A98" s="600" t="str">
        <f t="shared" si="2"/>
        <v>Seminole State College of Florida</v>
      </c>
      <c r="B98" s="14">
        <v>27818201.53212212</v>
      </c>
      <c r="C98" s="14">
        <f t="shared" si="3"/>
        <v>1390910.076606106</v>
      </c>
      <c r="D98" s="14">
        <f t="shared" si="4"/>
        <v>0</v>
      </c>
      <c r="E98" s="14">
        <f t="shared" si="5"/>
        <v>0</v>
      </c>
      <c r="F98" s="14">
        <f t="shared" si="6"/>
        <v>1390910.076606106</v>
      </c>
    </row>
    <row r="99" spans="1:37" ht="25.35" customHeight="1">
      <c r="A99" s="601" t="str">
        <f t="shared" si="2"/>
        <v>South Florida State College</v>
      </c>
      <c r="B99" s="367">
        <v>4733287.7574971886</v>
      </c>
      <c r="C99" s="367">
        <f t="shared" si="3"/>
        <v>236664.38787485944</v>
      </c>
      <c r="D99" s="367">
        <f t="shared" si="4"/>
        <v>1</v>
      </c>
      <c r="E99" s="367">
        <f t="shared" si="5"/>
        <v>94665.755149943769</v>
      </c>
      <c r="F99" s="367">
        <f t="shared" si="6"/>
        <v>331330.1430248032</v>
      </c>
    </row>
    <row r="100" spans="1:37" ht="25.35" customHeight="1">
      <c r="A100" s="600" t="str">
        <f t="shared" si="2"/>
        <v>Tallahassee State College</v>
      </c>
      <c r="B100" s="14">
        <v>27596167.3972946</v>
      </c>
      <c r="C100" s="14">
        <f t="shared" si="3"/>
        <v>1379808.3698647302</v>
      </c>
      <c r="D100" s="14">
        <f t="shared" si="4"/>
        <v>0</v>
      </c>
      <c r="E100" s="14">
        <f t="shared" si="5"/>
        <v>0</v>
      </c>
      <c r="F100" s="14">
        <f t="shared" si="6"/>
        <v>1379808.3698647302</v>
      </c>
    </row>
    <row r="101" spans="1:37" ht="25.35" customHeight="1" thickBot="1">
      <c r="A101" s="600" t="str">
        <f t="shared" si="2"/>
        <v>Valencia College</v>
      </c>
      <c r="B101" s="21">
        <v>108238944.34118673</v>
      </c>
      <c r="C101" s="21">
        <f t="shared" si="3"/>
        <v>5411947.2170593366</v>
      </c>
      <c r="D101" s="21">
        <f t="shared" si="4"/>
        <v>0</v>
      </c>
      <c r="E101" s="21">
        <f t="shared" si="5"/>
        <v>0</v>
      </c>
      <c r="F101" s="21">
        <f t="shared" si="6"/>
        <v>5411947.2170593366</v>
      </c>
    </row>
    <row r="102" spans="1:37" ht="25.35" customHeight="1" thickBot="1">
      <c r="A102" s="59" t="s">
        <v>47</v>
      </c>
      <c r="B102" s="403">
        <f>SUM(B74:B101)</f>
        <v>802975454.37280917</v>
      </c>
      <c r="C102" s="403">
        <f>SUM(C74:C101)</f>
        <v>40148772.718640447</v>
      </c>
      <c r="D102" s="60">
        <f>SUM(D74:D101)</f>
        <v>8</v>
      </c>
      <c r="E102" s="403">
        <f>SUM(E74:E101)</f>
        <v>871828.34627250407</v>
      </c>
      <c r="F102" s="404">
        <f>SUM(C102+E102)</f>
        <v>41020601.064912952</v>
      </c>
    </row>
    <row r="103" spans="1:37" ht="25.35" customHeight="1">
      <c r="A103" s="71"/>
    </row>
    <row r="104" spans="1:37" ht="25.35" customHeight="1">
      <c r="A104" s="72" t="s">
        <v>59</v>
      </c>
    </row>
    <row r="105" spans="1:37" ht="25.35" customHeight="1">
      <c r="A105" s="994" t="s">
        <v>750</v>
      </c>
      <c r="B105" s="994"/>
      <c r="C105" s="994"/>
      <c r="D105" s="994"/>
      <c r="E105" s="994"/>
      <c r="F105" s="994"/>
      <c r="G105" s="994"/>
      <c r="H105" s="994"/>
      <c r="I105" s="994"/>
      <c r="J105" s="994"/>
      <c r="K105" s="994"/>
      <c r="L105" s="994"/>
      <c r="M105" s="994"/>
      <c r="N105" s="994"/>
      <c r="O105" s="994"/>
      <c r="P105" s="994"/>
      <c r="Q105" s="994"/>
      <c r="R105" s="994"/>
    </row>
    <row r="106" spans="1:37" ht="20.100000000000001" customHeight="1">
      <c r="A106" s="992" t="s">
        <v>60</v>
      </c>
      <c r="B106" s="992"/>
      <c r="C106" s="992"/>
      <c r="D106" s="992"/>
      <c r="E106" s="992"/>
      <c r="F106" s="992"/>
      <c r="G106" s="992"/>
      <c r="H106" s="992"/>
      <c r="I106" s="992"/>
      <c r="J106" s="992"/>
      <c r="K106" s="992"/>
      <c r="L106" s="992"/>
      <c r="M106" s="992"/>
      <c r="N106" s="992"/>
      <c r="O106" s="992"/>
      <c r="P106" s="992"/>
      <c r="Q106" s="992"/>
      <c r="R106" s="992"/>
      <c r="S106" s="460"/>
    </row>
    <row r="107" spans="1:37" ht="20.100000000000001" customHeight="1">
      <c r="A107" s="444" t="s">
        <v>61</v>
      </c>
      <c r="B107" s="444"/>
      <c r="C107" s="444"/>
      <c r="D107" s="444"/>
      <c r="E107" s="444"/>
      <c r="F107" s="444"/>
      <c r="G107" s="444"/>
      <c r="H107" s="444"/>
      <c r="I107" s="444"/>
      <c r="J107" s="444"/>
      <c r="K107" s="444"/>
      <c r="L107" s="444"/>
      <c r="M107" s="444"/>
      <c r="N107" s="444"/>
      <c r="O107" s="444"/>
      <c r="P107" s="444"/>
      <c r="Q107" s="444"/>
      <c r="R107" s="444"/>
    </row>
    <row r="108" spans="1:37" ht="20.100000000000001" customHeight="1">
      <c r="A108" s="992" t="s">
        <v>62</v>
      </c>
      <c r="B108" s="992"/>
      <c r="C108" s="992"/>
      <c r="D108" s="992"/>
      <c r="E108" s="992"/>
      <c r="F108" s="992"/>
      <c r="G108" s="992"/>
      <c r="H108" s="992"/>
      <c r="I108" s="992"/>
      <c r="J108" s="992"/>
      <c r="K108" s="992"/>
      <c r="L108" s="992"/>
      <c r="M108" s="992"/>
      <c r="N108" s="992"/>
      <c r="O108" s="992"/>
      <c r="P108" s="992"/>
      <c r="Q108" s="992"/>
      <c r="R108" s="992"/>
    </row>
    <row r="109" spans="1:37" ht="20.100000000000001" customHeight="1">
      <c r="A109" s="992"/>
      <c r="B109" s="992"/>
      <c r="C109" s="992"/>
      <c r="D109" s="992"/>
      <c r="E109" s="992"/>
      <c r="F109" s="992"/>
      <c r="G109" s="992"/>
    </row>
    <row r="110" spans="1:37" ht="32.450000000000003" customHeight="1" thickBot="1">
      <c r="E110" s="455"/>
      <c r="F110" s="455"/>
      <c r="G110" s="455"/>
    </row>
    <row r="111" spans="1:37" ht="43.35" customHeight="1" thickBot="1">
      <c r="A111" s="41" t="s">
        <v>753</v>
      </c>
      <c r="B111" s="987" t="s">
        <v>752</v>
      </c>
      <c r="C111" s="988"/>
      <c r="D111" s="989"/>
      <c r="E111" s="990" t="s">
        <v>63</v>
      </c>
      <c r="F111" s="990"/>
      <c r="G111" s="990"/>
      <c r="H111" s="990"/>
      <c r="I111" s="990"/>
      <c r="J111" s="990"/>
      <c r="K111" s="990"/>
      <c r="L111" s="990"/>
      <c r="M111" s="990"/>
      <c r="N111" s="990"/>
      <c r="O111" s="990"/>
      <c r="P111" s="990"/>
      <c r="Q111" s="990"/>
      <c r="R111" s="990"/>
      <c r="S111" s="991"/>
      <c r="T111" s="13"/>
      <c r="U111" s="13"/>
      <c r="AC111" s="13"/>
      <c r="AK111" s="374"/>
    </row>
    <row r="112" spans="1:37" ht="39" customHeight="1" thickBot="1">
      <c r="A112" s="40">
        <v>1</v>
      </c>
      <c r="B112" s="38">
        <v>2</v>
      </c>
      <c r="C112" s="990">
        <v>3</v>
      </c>
      <c r="D112" s="991">
        <v>4</v>
      </c>
      <c r="E112" s="990">
        <v>5</v>
      </c>
      <c r="F112" s="990">
        <v>6</v>
      </c>
      <c r="G112" s="990">
        <v>7</v>
      </c>
      <c r="H112" s="990">
        <v>8</v>
      </c>
      <c r="I112" s="990">
        <v>9</v>
      </c>
      <c r="J112" s="990">
        <v>10</v>
      </c>
      <c r="K112" s="990">
        <v>11</v>
      </c>
      <c r="L112" s="990">
        <v>12</v>
      </c>
      <c r="M112" s="990">
        <v>13</v>
      </c>
      <c r="N112" s="990">
        <v>14</v>
      </c>
      <c r="O112" s="990">
        <v>15</v>
      </c>
      <c r="P112" s="990">
        <v>16</v>
      </c>
      <c r="Q112" s="990">
        <v>17</v>
      </c>
      <c r="R112" s="990">
        <v>18</v>
      </c>
      <c r="S112" s="991">
        <v>19</v>
      </c>
      <c r="T112" s="1024" t="s">
        <v>47</v>
      </c>
      <c r="U112" s="22"/>
      <c r="V112" s="38">
        <v>20</v>
      </c>
      <c r="W112" s="990">
        <v>21</v>
      </c>
      <c r="X112" s="990">
        <v>22</v>
      </c>
      <c r="Y112" s="52"/>
      <c r="Z112" s="990">
        <v>23</v>
      </c>
      <c r="AA112" s="990">
        <v>24</v>
      </c>
      <c r="AB112" s="991">
        <v>25</v>
      </c>
      <c r="AC112" s="25"/>
    </row>
    <row r="113" spans="1:50" ht="29.45" customHeight="1" thickBot="1">
      <c r="A113" s="49" t="s">
        <v>65</v>
      </c>
      <c r="B113" s="1032" t="s">
        <v>66</v>
      </c>
      <c r="C113" s="1033"/>
      <c r="D113" s="1034"/>
      <c r="E113" s="24"/>
      <c r="G113" s="1005"/>
      <c r="H113" s="1005"/>
      <c r="I113" s="1005"/>
      <c r="J113" s="1005" t="s">
        <v>67</v>
      </c>
      <c r="K113" s="1005"/>
      <c r="L113" s="1005"/>
      <c r="M113" s="1005"/>
      <c r="N113" s="1005"/>
      <c r="O113" s="1005"/>
      <c r="P113" s="1005"/>
      <c r="Q113" s="1018" t="s">
        <v>68</v>
      </c>
      <c r="R113" s="1019"/>
      <c r="S113" s="1020"/>
      <c r="T113" s="1025" t="s">
        <v>676</v>
      </c>
      <c r="U113" s="26"/>
      <c r="V113" s="27"/>
      <c r="W113" s="28"/>
      <c r="X113" s="29"/>
      <c r="Y113" s="53"/>
      <c r="Z113" s="1006"/>
      <c r="AA113" s="1007"/>
      <c r="AB113" s="1008"/>
      <c r="AC113" s="13"/>
      <c r="AD113" s="1095" t="s">
        <v>762</v>
      </c>
      <c r="AF113" s="23"/>
    </row>
    <row r="114" spans="1:50" ht="66" customHeight="1" thickBot="1">
      <c r="A114" s="30"/>
      <c r="B114" s="38" t="s">
        <v>69</v>
      </c>
      <c r="C114" s="990"/>
      <c r="D114" s="991"/>
      <c r="E114" s="38" t="s">
        <v>70</v>
      </c>
      <c r="F114" s="990"/>
      <c r="G114" s="991"/>
      <c r="H114" s="38" t="s">
        <v>71</v>
      </c>
      <c r="I114" s="990"/>
      <c r="J114" s="991"/>
      <c r="K114" s="996" t="s">
        <v>72</v>
      </c>
      <c r="L114" s="996"/>
      <c r="M114" s="996"/>
      <c r="N114" s="32" t="s">
        <v>73</v>
      </c>
      <c r="O114" s="997"/>
      <c r="P114" s="33"/>
      <c r="Q114" s="1021" t="s">
        <v>697</v>
      </c>
      <c r="R114" s="1022"/>
      <c r="S114" s="1023"/>
      <c r="T114" s="1080"/>
      <c r="U114" s="15"/>
      <c r="V114" s="1137" t="s">
        <v>764</v>
      </c>
      <c r="W114" s="1140"/>
      <c r="X114" s="1141"/>
      <c r="Y114" s="1139"/>
      <c r="Z114" s="1137" t="s">
        <v>76</v>
      </c>
      <c r="AA114" s="1138"/>
      <c r="AB114" s="995"/>
      <c r="AD114" s="37" t="s">
        <v>77</v>
      </c>
      <c r="AF114" s="13"/>
      <c r="AI114" s="1026" t="s">
        <v>677</v>
      </c>
      <c r="AJ114" s="1026"/>
      <c r="AK114" s="1026"/>
      <c r="AL114" s="1026"/>
      <c r="AM114" s="1026"/>
      <c r="AN114" s="1026"/>
      <c r="AO114" s="1026"/>
    </row>
    <row r="115" spans="1:50" ht="87" customHeight="1" thickBot="1">
      <c r="A115" s="34" t="s">
        <v>17</v>
      </c>
      <c r="B115" s="917" t="s">
        <v>78</v>
      </c>
      <c r="C115" s="372"/>
      <c r="D115" s="540" t="s">
        <v>52</v>
      </c>
      <c r="E115" s="916" t="s">
        <v>78</v>
      </c>
      <c r="F115" s="915" t="s">
        <v>79</v>
      </c>
      <c r="G115" s="13" t="s">
        <v>52</v>
      </c>
      <c r="H115" s="918" t="s">
        <v>78</v>
      </c>
      <c r="I115" s="919" t="s">
        <v>79</v>
      </c>
      <c r="J115" s="51" t="s">
        <v>52</v>
      </c>
      <c r="K115" s="920" t="s">
        <v>78</v>
      </c>
      <c r="L115" s="921" t="s">
        <v>79</v>
      </c>
      <c r="M115" s="564" t="s">
        <v>52</v>
      </c>
      <c r="N115" s="922" t="s">
        <v>78</v>
      </c>
      <c r="O115" s="921" t="s">
        <v>79</v>
      </c>
      <c r="P115" s="512" t="s">
        <v>52</v>
      </c>
      <c r="Q115" s="922" t="s">
        <v>78</v>
      </c>
      <c r="R115" s="915" t="s">
        <v>79</v>
      </c>
      <c r="S115" s="51" t="s">
        <v>52</v>
      </c>
      <c r="T115" s="1079" t="s">
        <v>75</v>
      </c>
      <c r="V115" s="923" t="s">
        <v>78</v>
      </c>
      <c r="W115" s="924" t="s">
        <v>79</v>
      </c>
      <c r="X115" s="602" t="s">
        <v>52</v>
      </c>
      <c r="Y115" s="50"/>
      <c r="Z115" s="31" t="s">
        <v>78</v>
      </c>
      <c r="AA115" s="925" t="s">
        <v>79</v>
      </c>
      <c r="AB115" s="74" t="s">
        <v>52</v>
      </c>
      <c r="AD115" s="34" t="s">
        <v>17</v>
      </c>
      <c r="AE115" s="926" t="s">
        <v>80</v>
      </c>
      <c r="AF115" s="927" t="s">
        <v>81</v>
      </c>
      <c r="AG115" s="17" t="s">
        <v>82</v>
      </c>
      <c r="AR115" s="22"/>
      <c r="AS115" s="22"/>
      <c r="AT115" s="22"/>
    </row>
    <row r="116" spans="1:50" ht="24.6" customHeight="1">
      <c r="A116" s="368" t="str">
        <f t="shared" ref="A116:A143" si="7">A7</f>
        <v>Eastern Florida State College</v>
      </c>
      <c r="B116" s="445">
        <v>999</v>
      </c>
      <c r="C116" s="1035"/>
      <c r="D116" s="911">
        <f t="shared" ref="D116:D143" si="8">B116+C116</f>
        <v>999</v>
      </c>
      <c r="E116" s="1009">
        <v>4893.3783494844292</v>
      </c>
      <c r="F116" s="446">
        <v>245.38635031210126</v>
      </c>
      <c r="G116" s="383">
        <f t="shared" ref="G116:G143" si="9">E116+F116</f>
        <v>5138.7646997965303</v>
      </c>
      <c r="H116" s="1073">
        <v>1963.931948051948</v>
      </c>
      <c r="I116" s="1074">
        <v>68.02170274170274</v>
      </c>
      <c r="J116" s="383">
        <f>H116+I116</f>
        <v>2031.9536507936507</v>
      </c>
      <c r="K116" s="447">
        <v>237.60588842975207</v>
      </c>
      <c r="L116" s="448">
        <v>35.394111570247937</v>
      </c>
      <c r="M116" s="48">
        <f t="shared" ref="M116:M143" si="10">K116+L116</f>
        <v>273</v>
      </c>
      <c r="N116" s="447">
        <v>14</v>
      </c>
      <c r="O116" s="448">
        <v>0</v>
      </c>
      <c r="P116" s="48">
        <f t="shared" ref="P116:P143" si="11">N116+O116</f>
        <v>14</v>
      </c>
      <c r="Q116" s="447">
        <v>416.81587035484773</v>
      </c>
      <c r="R116" s="449">
        <v>28.594579491478068</v>
      </c>
      <c r="S116" s="383">
        <f t="shared" ref="S116:S143" si="12">Q116+R116</f>
        <v>445.41044984632578</v>
      </c>
      <c r="T116" s="48">
        <f t="shared" ref="T116:T143" si="13">D116+G116+J116+M116+P116+S116</f>
        <v>8902.1288004365069</v>
      </c>
      <c r="V116" s="603">
        <f>X116-W116</f>
        <v>0</v>
      </c>
      <c r="W116" s="450">
        <v>0</v>
      </c>
      <c r="X116" s="451">
        <v>0</v>
      </c>
      <c r="Y116" s="73"/>
      <c r="Z116" s="388">
        <f>AB116-AA116</f>
        <v>0</v>
      </c>
      <c r="AA116" s="452">
        <v>0</v>
      </c>
      <c r="AB116" s="604">
        <f t="shared" ref="AB116:AB143" si="14">AG116</f>
        <v>0</v>
      </c>
      <c r="AD116" s="368" t="str">
        <f t="shared" ref="AD116:AD143" si="15">A116</f>
        <v>Eastern Florida State College</v>
      </c>
      <c r="AE116" s="453">
        <v>0</v>
      </c>
      <c r="AF116" s="453">
        <v>0</v>
      </c>
      <c r="AG116" s="390">
        <f t="shared" ref="AG116:AG143" si="16">AE116+AF116</f>
        <v>0</v>
      </c>
      <c r="AI116" s="1004" t="s">
        <v>83</v>
      </c>
      <c r="AJ116" s="1004"/>
      <c r="AK116" s="1004"/>
      <c r="AL116" s="1004"/>
      <c r="AM116" s="1004"/>
      <c r="AN116" s="1004"/>
      <c r="AO116" s="36">
        <f>X144+AB144</f>
        <v>4331</v>
      </c>
      <c r="AR116" s="22"/>
      <c r="AS116" s="22"/>
      <c r="AT116" s="22"/>
    </row>
    <row r="117" spans="1:50" ht="25.35" customHeight="1">
      <c r="A117" s="605" t="str">
        <f t="shared" si="7"/>
        <v>Broward College</v>
      </c>
      <c r="B117" s="579">
        <v>1171</v>
      </c>
      <c r="C117" s="585"/>
      <c r="D117" s="912">
        <f t="shared" si="8"/>
        <v>1171</v>
      </c>
      <c r="E117" s="1010">
        <v>11966.858612912321</v>
      </c>
      <c r="F117" s="587">
        <v>685.57085800206744</v>
      </c>
      <c r="G117" s="586">
        <f t="shared" si="9"/>
        <v>12652.429470914389</v>
      </c>
      <c r="H117" s="1075">
        <v>6746.5980471928397</v>
      </c>
      <c r="I117" s="1076">
        <v>384.20341741253054</v>
      </c>
      <c r="J117" s="586">
        <f t="shared" ref="J117:J143" si="17">H117+I117</f>
        <v>7130.8014646053698</v>
      </c>
      <c r="K117" s="606">
        <v>528.41772151898738</v>
      </c>
      <c r="L117" s="580">
        <v>76.582278481012651</v>
      </c>
      <c r="M117" s="607">
        <f t="shared" si="10"/>
        <v>605</v>
      </c>
      <c r="N117" s="606">
        <v>6.6330275229357802</v>
      </c>
      <c r="O117" s="580">
        <v>0.36697247706422015</v>
      </c>
      <c r="P117" s="607">
        <f t="shared" si="11"/>
        <v>7</v>
      </c>
      <c r="Q117" s="606">
        <v>241.22745270567532</v>
      </c>
      <c r="R117" s="588">
        <v>3.7725472943246809</v>
      </c>
      <c r="S117" s="586">
        <f t="shared" si="12"/>
        <v>245</v>
      </c>
      <c r="T117" s="607">
        <f t="shared" si="13"/>
        <v>21811.230935519758</v>
      </c>
      <c r="V117" s="603">
        <f t="shared" ref="V117:V143" si="18">X117-W117</f>
        <v>0</v>
      </c>
      <c r="W117" s="588">
        <v>0</v>
      </c>
      <c r="X117" s="608">
        <v>0</v>
      </c>
      <c r="Y117" s="73"/>
      <c r="Z117" s="589">
        <f t="shared" ref="Z117:Z143" si="19">AB117-AA117</f>
        <v>4</v>
      </c>
      <c r="AA117" s="609">
        <v>169</v>
      </c>
      <c r="AB117" s="604">
        <f t="shared" si="14"/>
        <v>173</v>
      </c>
      <c r="AD117" s="373" t="str">
        <f t="shared" si="15"/>
        <v>Broward College</v>
      </c>
      <c r="AE117" s="610">
        <v>169</v>
      </c>
      <c r="AF117" s="610">
        <v>4</v>
      </c>
      <c r="AG117" s="586">
        <f t="shared" si="16"/>
        <v>173</v>
      </c>
      <c r="AI117" s="1004" t="s">
        <v>84</v>
      </c>
      <c r="AJ117" s="1004"/>
      <c r="AK117" s="1004"/>
      <c r="AL117" s="1004"/>
      <c r="AM117" s="1004"/>
      <c r="AN117" s="1004"/>
      <c r="AO117" s="454">
        <v>35086.776785970986</v>
      </c>
      <c r="AR117" s="151"/>
      <c r="AS117" s="151"/>
      <c r="AT117" s="151"/>
      <c r="AU117" s="151"/>
      <c r="AV117" s="151"/>
      <c r="AW117" s="151"/>
      <c r="AX117" s="151"/>
    </row>
    <row r="118" spans="1:50" ht="25.35" customHeight="1">
      <c r="A118" s="611" t="str">
        <f t="shared" si="7"/>
        <v>College of Central Florida</v>
      </c>
      <c r="B118" s="579">
        <v>309</v>
      </c>
      <c r="C118" s="585"/>
      <c r="D118" s="912">
        <f t="shared" si="8"/>
        <v>309</v>
      </c>
      <c r="E118" s="1010">
        <v>2130.6010746865495</v>
      </c>
      <c r="F118" s="587">
        <v>104.13112842087727</v>
      </c>
      <c r="G118" s="586">
        <f t="shared" si="9"/>
        <v>2234.7322031074268</v>
      </c>
      <c r="H118" s="1075">
        <v>1372.6260355029585</v>
      </c>
      <c r="I118" s="1076">
        <v>60.240236686390539</v>
      </c>
      <c r="J118" s="586">
        <f t="shared" si="17"/>
        <v>1432.866272189349</v>
      </c>
      <c r="K118" s="606">
        <v>108.07586933614331</v>
      </c>
      <c r="L118" s="580">
        <v>23.924130663856687</v>
      </c>
      <c r="M118" s="607">
        <f t="shared" si="10"/>
        <v>132</v>
      </c>
      <c r="N118" s="606">
        <v>0</v>
      </c>
      <c r="O118" s="580">
        <v>0</v>
      </c>
      <c r="P118" s="607">
        <f t="shared" si="11"/>
        <v>0</v>
      </c>
      <c r="Q118" s="606">
        <v>137.22134387351778</v>
      </c>
      <c r="R118" s="588">
        <v>0.82450592885375484</v>
      </c>
      <c r="S118" s="586">
        <f t="shared" si="12"/>
        <v>138.04584980237155</v>
      </c>
      <c r="T118" s="607">
        <f t="shared" si="13"/>
        <v>4246.6443250991479</v>
      </c>
      <c r="V118" s="603">
        <f t="shared" si="18"/>
        <v>0</v>
      </c>
      <c r="W118" s="588">
        <v>0</v>
      </c>
      <c r="X118" s="608">
        <v>0</v>
      </c>
      <c r="Y118" s="73"/>
      <c r="Z118" s="589">
        <f t="shared" si="19"/>
        <v>6.9586776859504145</v>
      </c>
      <c r="AA118" s="609">
        <v>10.041322314049586</v>
      </c>
      <c r="AB118" s="604">
        <f t="shared" si="14"/>
        <v>17</v>
      </c>
      <c r="AD118" s="611" t="str">
        <f t="shared" si="15"/>
        <v>College of Central Florida</v>
      </c>
      <c r="AE118" s="610">
        <v>15</v>
      </c>
      <c r="AF118" s="610">
        <v>2</v>
      </c>
      <c r="AG118" s="586">
        <f t="shared" si="16"/>
        <v>17</v>
      </c>
      <c r="AI118" s="1004" t="s">
        <v>85</v>
      </c>
      <c r="AJ118" s="1004"/>
      <c r="AK118" s="1004"/>
      <c r="AL118" s="1004"/>
      <c r="AM118" s="1004"/>
      <c r="AN118" s="1004"/>
      <c r="AO118" s="552">
        <v>4063</v>
      </c>
    </row>
    <row r="119" spans="1:50" ht="25.35" customHeight="1">
      <c r="A119" s="611" t="str">
        <f t="shared" si="7"/>
        <v>Chipola College</v>
      </c>
      <c r="B119" s="579">
        <v>138</v>
      </c>
      <c r="C119" s="585"/>
      <c r="D119" s="912">
        <f t="shared" si="8"/>
        <v>138</v>
      </c>
      <c r="E119" s="1010">
        <v>585.74926542605283</v>
      </c>
      <c r="F119" s="587">
        <v>46.209108716944179</v>
      </c>
      <c r="G119" s="586">
        <f t="shared" si="9"/>
        <v>631.95837414299706</v>
      </c>
      <c r="H119" s="1075">
        <v>176.61202185792351</v>
      </c>
      <c r="I119" s="1076">
        <v>5.4644808743169397</v>
      </c>
      <c r="J119" s="586">
        <f t="shared" si="17"/>
        <v>182.07650273224044</v>
      </c>
      <c r="K119" s="606">
        <v>2.7777777777777781</v>
      </c>
      <c r="L119" s="580">
        <v>3.2222222222222219</v>
      </c>
      <c r="M119" s="607">
        <f t="shared" si="10"/>
        <v>6</v>
      </c>
      <c r="N119" s="606">
        <v>0</v>
      </c>
      <c r="O119" s="580">
        <v>0</v>
      </c>
      <c r="P119" s="607">
        <f t="shared" si="11"/>
        <v>0</v>
      </c>
      <c r="Q119" s="606">
        <v>237.39764831640832</v>
      </c>
      <c r="R119" s="588">
        <v>1.7509353287012295</v>
      </c>
      <c r="S119" s="586">
        <f t="shared" si="12"/>
        <v>239.14858364510954</v>
      </c>
      <c r="T119" s="607">
        <f t="shared" si="13"/>
        <v>1197.1834605203471</v>
      </c>
      <c r="V119" s="603">
        <f t="shared" si="18"/>
        <v>0</v>
      </c>
      <c r="W119" s="588">
        <v>0</v>
      </c>
      <c r="X119" s="608">
        <v>0</v>
      </c>
      <c r="Y119" s="73"/>
      <c r="Z119" s="589">
        <f t="shared" si="19"/>
        <v>0</v>
      </c>
      <c r="AA119" s="609">
        <v>0</v>
      </c>
      <c r="AB119" s="604">
        <f t="shared" si="14"/>
        <v>0</v>
      </c>
      <c r="AD119" s="611" t="str">
        <f t="shared" si="15"/>
        <v>Chipola College</v>
      </c>
      <c r="AE119" s="610">
        <v>0</v>
      </c>
      <c r="AF119" s="610">
        <v>0</v>
      </c>
      <c r="AG119" s="586">
        <f t="shared" si="16"/>
        <v>0</v>
      </c>
      <c r="AI119" s="22" t="s">
        <v>52</v>
      </c>
      <c r="AJ119" s="22"/>
      <c r="AK119" s="22"/>
      <c r="AL119" s="22"/>
      <c r="AM119" s="22"/>
      <c r="AN119" s="22"/>
      <c r="AO119" s="35">
        <f>SUM(AO116:AO118)</f>
        <v>43480.776785970986</v>
      </c>
      <c r="AR119" s="151"/>
      <c r="AS119" s="151"/>
      <c r="AT119" s="151"/>
      <c r="AU119" s="151"/>
      <c r="AV119" s="151"/>
      <c r="AW119" s="151"/>
      <c r="AX119" s="151"/>
    </row>
    <row r="120" spans="1:50" ht="25.35" customHeight="1">
      <c r="A120" s="611" t="str">
        <f t="shared" si="7"/>
        <v>Daytona State College</v>
      </c>
      <c r="B120" s="579">
        <v>975</v>
      </c>
      <c r="C120" s="585"/>
      <c r="D120" s="912">
        <f t="shared" si="8"/>
        <v>975</v>
      </c>
      <c r="E120" s="1010">
        <v>4560.8614307724492</v>
      </c>
      <c r="F120" s="587">
        <v>292.67743898959543</v>
      </c>
      <c r="G120" s="586">
        <f t="shared" si="9"/>
        <v>4853.5388697620447</v>
      </c>
      <c r="H120" s="1075">
        <v>2160.2437197003082</v>
      </c>
      <c r="I120" s="1076">
        <v>102.31717349786985</v>
      </c>
      <c r="J120" s="586">
        <f t="shared" si="17"/>
        <v>2262.5608931981783</v>
      </c>
      <c r="K120" s="606">
        <v>160.72123552123551</v>
      </c>
      <c r="L120" s="580">
        <v>25.278764478764479</v>
      </c>
      <c r="M120" s="607">
        <f t="shared" si="10"/>
        <v>186</v>
      </c>
      <c r="N120" s="606">
        <v>1</v>
      </c>
      <c r="O120" s="580">
        <v>0</v>
      </c>
      <c r="P120" s="607">
        <f t="shared" si="11"/>
        <v>1</v>
      </c>
      <c r="Q120" s="606">
        <v>728.0092896955839</v>
      </c>
      <c r="R120" s="588">
        <v>29.058024867800487</v>
      </c>
      <c r="S120" s="586">
        <f t="shared" si="12"/>
        <v>757.06731456338434</v>
      </c>
      <c r="T120" s="607">
        <f t="shared" si="13"/>
        <v>9035.1670775236071</v>
      </c>
      <c r="V120" s="603">
        <f t="shared" si="18"/>
        <v>2</v>
      </c>
      <c r="W120" s="588">
        <v>0</v>
      </c>
      <c r="X120" s="608">
        <v>2</v>
      </c>
      <c r="Y120" s="73"/>
      <c r="Z120" s="589">
        <f t="shared" si="19"/>
        <v>204</v>
      </c>
      <c r="AA120" s="609">
        <v>0</v>
      </c>
      <c r="AB120" s="604">
        <f t="shared" si="14"/>
        <v>204</v>
      </c>
      <c r="AD120" s="611" t="str">
        <f t="shared" si="15"/>
        <v>Daytona State College</v>
      </c>
      <c r="AE120" s="610">
        <v>169</v>
      </c>
      <c r="AF120" s="610">
        <v>35</v>
      </c>
      <c r="AG120" s="586">
        <f t="shared" si="16"/>
        <v>204</v>
      </c>
      <c r="AS120" s="22"/>
    </row>
    <row r="121" spans="1:50" ht="25.35" customHeight="1">
      <c r="A121" s="611" t="str">
        <f t="shared" si="7"/>
        <v>Florida SouthWestern State College</v>
      </c>
      <c r="B121" s="579">
        <v>587</v>
      </c>
      <c r="C121" s="585"/>
      <c r="D121" s="912">
        <f t="shared" si="8"/>
        <v>587</v>
      </c>
      <c r="E121" s="1010">
        <v>5031.0065724613869</v>
      </c>
      <c r="F121" s="587">
        <v>254.96856172636649</v>
      </c>
      <c r="G121" s="586">
        <f t="shared" si="9"/>
        <v>5285.9751341877536</v>
      </c>
      <c r="H121" s="1075">
        <v>2975.5429954441911</v>
      </c>
      <c r="I121" s="1076">
        <v>75.126423690205016</v>
      </c>
      <c r="J121" s="586">
        <f t="shared" si="17"/>
        <v>3050.6694191343963</v>
      </c>
      <c r="K121" s="606">
        <v>125.4</v>
      </c>
      <c r="L121" s="580">
        <v>18.600000000000001</v>
      </c>
      <c r="M121" s="607">
        <f t="shared" si="10"/>
        <v>144</v>
      </c>
      <c r="N121" s="606">
        <v>0</v>
      </c>
      <c r="O121" s="580">
        <v>0</v>
      </c>
      <c r="P121" s="607">
        <f t="shared" si="11"/>
        <v>0</v>
      </c>
      <c r="Q121" s="606">
        <v>45.551020408163268</v>
      </c>
      <c r="R121" s="588">
        <v>2.4489795918367343</v>
      </c>
      <c r="S121" s="586">
        <f t="shared" si="12"/>
        <v>48</v>
      </c>
      <c r="T121" s="607">
        <f t="shared" si="13"/>
        <v>9115.6445533221504</v>
      </c>
      <c r="V121" s="603">
        <f t="shared" si="18"/>
        <v>0</v>
      </c>
      <c r="W121" s="588">
        <v>0</v>
      </c>
      <c r="X121" s="608">
        <v>0</v>
      </c>
      <c r="Y121" s="73"/>
      <c r="Z121" s="589">
        <f t="shared" si="19"/>
        <v>0</v>
      </c>
      <c r="AA121" s="609">
        <v>0</v>
      </c>
      <c r="AB121" s="604">
        <f t="shared" si="14"/>
        <v>0</v>
      </c>
      <c r="AD121" s="611" t="str">
        <f t="shared" si="15"/>
        <v>Florida SouthWestern State College</v>
      </c>
      <c r="AE121" s="610">
        <v>0</v>
      </c>
      <c r="AF121" s="610">
        <v>0</v>
      </c>
      <c r="AG121" s="586">
        <f t="shared" si="16"/>
        <v>0</v>
      </c>
      <c r="AI121" s="22" t="s">
        <v>760</v>
      </c>
      <c r="AO121" s="454">
        <v>323302</v>
      </c>
      <c r="AR121" s="22"/>
      <c r="AS121" s="22"/>
    </row>
    <row r="122" spans="1:50" ht="25.35" customHeight="1">
      <c r="A122" s="611" t="str">
        <f t="shared" si="7"/>
        <v>Florida State College at Jacksonville</v>
      </c>
      <c r="B122" s="579">
        <v>1646</v>
      </c>
      <c r="C122" s="585"/>
      <c r="D122" s="912">
        <f t="shared" si="8"/>
        <v>1646</v>
      </c>
      <c r="E122" s="1010">
        <v>8068.2788337895472</v>
      </c>
      <c r="F122" s="587">
        <v>283.02384620281367</v>
      </c>
      <c r="G122" s="586">
        <f t="shared" si="9"/>
        <v>8351.3026799923609</v>
      </c>
      <c r="H122" s="1075">
        <v>3608.690531708759</v>
      </c>
      <c r="I122" s="1076">
        <v>79.389700811192483</v>
      </c>
      <c r="J122" s="586">
        <f t="shared" si="17"/>
        <v>3688.0802325199516</v>
      </c>
      <c r="K122" s="606">
        <v>799.44556451612902</v>
      </c>
      <c r="L122" s="580">
        <v>50.554435483870968</v>
      </c>
      <c r="M122" s="607">
        <f t="shared" si="10"/>
        <v>850</v>
      </c>
      <c r="N122" s="606">
        <v>-0.98837209302325579</v>
      </c>
      <c r="O122" s="580">
        <v>0.98837209302325579</v>
      </c>
      <c r="P122" s="607">
        <f t="shared" si="11"/>
        <v>0</v>
      </c>
      <c r="Q122" s="606">
        <v>848.75215957279727</v>
      </c>
      <c r="R122" s="588">
        <v>40.97424218627296</v>
      </c>
      <c r="S122" s="586">
        <f t="shared" si="12"/>
        <v>889.7264017590702</v>
      </c>
      <c r="T122" s="607">
        <f t="shared" si="13"/>
        <v>15425.109314271382</v>
      </c>
      <c r="V122" s="603">
        <f t="shared" si="18"/>
        <v>0</v>
      </c>
      <c r="W122" s="588">
        <v>0</v>
      </c>
      <c r="X122" s="608">
        <v>0</v>
      </c>
      <c r="Y122" s="73"/>
      <c r="Z122" s="589">
        <f t="shared" si="19"/>
        <v>405.44024425705146</v>
      </c>
      <c r="AA122" s="609">
        <v>13.559755742948536</v>
      </c>
      <c r="AB122" s="604">
        <f t="shared" si="14"/>
        <v>419</v>
      </c>
      <c r="AD122" s="611" t="str">
        <f t="shared" si="15"/>
        <v>Florida State College at Jacksonville</v>
      </c>
      <c r="AE122" s="610">
        <v>402</v>
      </c>
      <c r="AF122" s="610">
        <v>17</v>
      </c>
      <c r="AG122" s="586">
        <f t="shared" si="16"/>
        <v>419</v>
      </c>
      <c r="AO122" s="553">
        <f>AO119</f>
        <v>43480.776785970986</v>
      </c>
      <c r="AQ122" s="22"/>
      <c r="AR122" s="22"/>
      <c r="AS122" s="22"/>
    </row>
    <row r="123" spans="1:50" ht="25.35" customHeight="1">
      <c r="A123" s="611" t="str">
        <f t="shared" si="7"/>
        <v>College of the Florida Keys</v>
      </c>
      <c r="B123" s="579">
        <v>69</v>
      </c>
      <c r="C123" s="585"/>
      <c r="D123" s="912">
        <f t="shared" si="8"/>
        <v>69</v>
      </c>
      <c r="E123" s="1010">
        <v>380.38725985844286</v>
      </c>
      <c r="F123" s="587">
        <v>41.845298281092006</v>
      </c>
      <c r="G123" s="586">
        <f t="shared" si="9"/>
        <v>422.23255813953489</v>
      </c>
      <c r="H123" s="1075">
        <v>210.02468265162199</v>
      </c>
      <c r="I123" s="1076">
        <v>35.556417489421719</v>
      </c>
      <c r="J123" s="586">
        <f t="shared" si="17"/>
        <v>245.58110014104369</v>
      </c>
      <c r="K123" s="606">
        <v>7.875</v>
      </c>
      <c r="L123" s="580">
        <v>2.125</v>
      </c>
      <c r="M123" s="607">
        <f t="shared" si="10"/>
        <v>10</v>
      </c>
      <c r="N123" s="606">
        <v>0</v>
      </c>
      <c r="O123" s="580">
        <v>0</v>
      </c>
      <c r="P123" s="607">
        <f t="shared" si="11"/>
        <v>0</v>
      </c>
      <c r="Q123" s="606">
        <v>68</v>
      </c>
      <c r="R123" s="588">
        <v>0</v>
      </c>
      <c r="S123" s="586">
        <f t="shared" si="12"/>
        <v>68</v>
      </c>
      <c r="T123" s="607">
        <f t="shared" si="13"/>
        <v>814.81365828057858</v>
      </c>
      <c r="V123" s="603">
        <f t="shared" si="18"/>
        <v>0</v>
      </c>
      <c r="W123" s="588">
        <v>0</v>
      </c>
      <c r="X123" s="608">
        <v>0</v>
      </c>
      <c r="Y123" s="73"/>
      <c r="Z123" s="589">
        <f t="shared" si="19"/>
        <v>0</v>
      </c>
      <c r="AA123" s="609">
        <v>0</v>
      </c>
      <c r="AB123" s="604">
        <f t="shared" si="14"/>
        <v>0</v>
      </c>
      <c r="AD123" s="611" t="str">
        <f t="shared" si="15"/>
        <v>College of the Florida Keys</v>
      </c>
      <c r="AE123" s="610">
        <v>0</v>
      </c>
      <c r="AF123" s="610">
        <v>0</v>
      </c>
      <c r="AG123" s="586">
        <f t="shared" si="16"/>
        <v>0</v>
      </c>
      <c r="AI123" s="1003" t="s">
        <v>86</v>
      </c>
      <c r="AJ123" s="1003"/>
      <c r="AK123" s="1003"/>
      <c r="AL123" s="1003"/>
      <c r="AM123" s="1003"/>
      <c r="AN123" s="1003"/>
      <c r="AO123" s="375">
        <f>AO121-AO122</f>
        <v>279821.22321402899</v>
      </c>
    </row>
    <row r="124" spans="1:50" ht="25.35" customHeight="1">
      <c r="A124" s="611" t="str">
        <f t="shared" si="7"/>
        <v>Gulf Coast State College</v>
      </c>
      <c r="B124" s="579">
        <v>126</v>
      </c>
      <c r="C124" s="585"/>
      <c r="D124" s="912">
        <f t="shared" si="8"/>
        <v>126</v>
      </c>
      <c r="E124" s="1010">
        <v>2168.0073078428813</v>
      </c>
      <c r="F124" s="587">
        <v>144.69333159337074</v>
      </c>
      <c r="G124" s="586">
        <f t="shared" si="9"/>
        <v>2312.700639436252</v>
      </c>
      <c r="H124" s="1075">
        <v>549.16173120728922</v>
      </c>
      <c r="I124" s="1076">
        <v>35.977220956719826</v>
      </c>
      <c r="J124" s="586">
        <f t="shared" si="17"/>
        <v>585.13895216400908</v>
      </c>
      <c r="K124" s="606">
        <v>43.857868020304565</v>
      </c>
      <c r="L124" s="580">
        <v>10.142131979695431</v>
      </c>
      <c r="M124" s="607">
        <f t="shared" si="10"/>
        <v>54</v>
      </c>
      <c r="N124" s="606">
        <v>0</v>
      </c>
      <c r="O124" s="580">
        <v>0</v>
      </c>
      <c r="P124" s="607">
        <f t="shared" si="11"/>
        <v>0</v>
      </c>
      <c r="Q124" s="606">
        <v>190.28377544725478</v>
      </c>
      <c r="R124" s="588">
        <v>8.7162245527452189</v>
      </c>
      <c r="S124" s="586">
        <f t="shared" si="12"/>
        <v>199</v>
      </c>
      <c r="T124" s="607">
        <f t="shared" si="13"/>
        <v>3276.839591600261</v>
      </c>
      <c r="V124" s="603">
        <f t="shared" si="18"/>
        <v>0</v>
      </c>
      <c r="W124" s="588">
        <v>0</v>
      </c>
      <c r="X124" s="608">
        <v>0</v>
      </c>
      <c r="Y124" s="73"/>
      <c r="Z124" s="589">
        <f t="shared" si="19"/>
        <v>0</v>
      </c>
      <c r="AA124" s="609">
        <v>0</v>
      </c>
      <c r="AB124" s="604">
        <f t="shared" si="14"/>
        <v>0</v>
      </c>
      <c r="AD124" s="611" t="str">
        <f t="shared" si="15"/>
        <v>Gulf Coast State College</v>
      </c>
      <c r="AE124" s="610">
        <v>0</v>
      </c>
      <c r="AF124" s="610">
        <v>0</v>
      </c>
      <c r="AG124" s="586">
        <f t="shared" si="16"/>
        <v>0</v>
      </c>
    </row>
    <row r="125" spans="1:50" ht="25.35" customHeight="1">
      <c r="A125" s="611" t="str">
        <f t="shared" si="7"/>
        <v>Hillsborough College</v>
      </c>
      <c r="B125" s="579">
        <v>140</v>
      </c>
      <c r="C125" s="585"/>
      <c r="D125" s="912">
        <f t="shared" si="8"/>
        <v>140</v>
      </c>
      <c r="E125" s="1010">
        <v>9713.2079112975734</v>
      </c>
      <c r="F125" s="587">
        <v>600.13230018408319</v>
      </c>
      <c r="G125" s="586">
        <f t="shared" si="9"/>
        <v>10313.340211481656</v>
      </c>
      <c r="H125" s="1075">
        <v>4999.8099358466652</v>
      </c>
      <c r="I125" s="1076">
        <v>278.35274433708224</v>
      </c>
      <c r="J125" s="586">
        <f t="shared" si="17"/>
        <v>5278.1626801837474</v>
      </c>
      <c r="K125" s="606">
        <v>859.11570453134698</v>
      </c>
      <c r="L125" s="580">
        <v>137.88429546865299</v>
      </c>
      <c r="M125" s="607">
        <f t="shared" si="10"/>
        <v>997</v>
      </c>
      <c r="N125" s="606">
        <v>20</v>
      </c>
      <c r="O125" s="580">
        <v>0</v>
      </c>
      <c r="P125" s="607">
        <f t="shared" si="11"/>
        <v>20</v>
      </c>
      <c r="Q125" s="606">
        <v>277.52762430939225</v>
      </c>
      <c r="R125" s="588">
        <v>6.4723756906077341</v>
      </c>
      <c r="S125" s="586">
        <f t="shared" si="12"/>
        <v>284</v>
      </c>
      <c r="T125" s="607">
        <f t="shared" si="13"/>
        <v>17032.502891665405</v>
      </c>
      <c r="V125" s="603">
        <f t="shared" si="18"/>
        <v>0</v>
      </c>
      <c r="W125" s="588">
        <v>0</v>
      </c>
      <c r="X125" s="608">
        <v>0</v>
      </c>
      <c r="Y125" s="73"/>
      <c r="Z125" s="589">
        <f t="shared" si="19"/>
        <v>0</v>
      </c>
      <c r="AA125" s="609">
        <v>0</v>
      </c>
      <c r="AB125" s="604">
        <f t="shared" si="14"/>
        <v>0</v>
      </c>
      <c r="AD125" s="611" t="str">
        <f t="shared" si="15"/>
        <v>Hillsborough College</v>
      </c>
      <c r="AE125" s="610">
        <v>0</v>
      </c>
      <c r="AF125" s="610">
        <v>0</v>
      </c>
      <c r="AG125" s="586">
        <f t="shared" si="16"/>
        <v>0</v>
      </c>
      <c r="AI125" s="1003" t="s">
        <v>761</v>
      </c>
      <c r="AJ125" s="1003"/>
      <c r="AK125" s="1003"/>
      <c r="AL125" s="1003"/>
      <c r="AM125" s="1003"/>
      <c r="AN125" s="1003"/>
      <c r="AO125" s="376">
        <f>AO119+AO123</f>
        <v>323302</v>
      </c>
    </row>
    <row r="126" spans="1:50" ht="25.35" customHeight="1">
      <c r="A126" s="611" t="str">
        <f t="shared" si="7"/>
        <v>Indian River State College</v>
      </c>
      <c r="B126" s="579">
        <v>1296</v>
      </c>
      <c r="C126" s="585"/>
      <c r="D126" s="912">
        <f t="shared" si="8"/>
        <v>1296</v>
      </c>
      <c r="E126" s="1010">
        <v>4843.9099039417033</v>
      </c>
      <c r="F126" s="587">
        <v>164.15874897578493</v>
      </c>
      <c r="G126" s="586">
        <f t="shared" si="9"/>
        <v>5008.0686529174882</v>
      </c>
      <c r="H126" s="1075">
        <v>2552.8931464856582</v>
      </c>
      <c r="I126" s="1076">
        <v>56.793518721261222</v>
      </c>
      <c r="J126" s="586">
        <f t="shared" si="17"/>
        <v>2609.6866652069193</v>
      </c>
      <c r="K126" s="606">
        <v>61.982142857142854</v>
      </c>
      <c r="L126" s="580">
        <v>3.0178571428571428</v>
      </c>
      <c r="M126" s="607">
        <f t="shared" si="10"/>
        <v>65</v>
      </c>
      <c r="N126" s="606">
        <v>4</v>
      </c>
      <c r="O126" s="580">
        <v>0</v>
      </c>
      <c r="P126" s="607">
        <f t="shared" si="11"/>
        <v>4</v>
      </c>
      <c r="Q126" s="606">
        <v>508.80182232346243</v>
      </c>
      <c r="R126" s="588">
        <v>15.66742596810934</v>
      </c>
      <c r="S126" s="586">
        <f t="shared" si="12"/>
        <v>524.46924829157172</v>
      </c>
      <c r="T126" s="607">
        <f t="shared" si="13"/>
        <v>9507.22456641598</v>
      </c>
      <c r="V126" s="603">
        <f t="shared" si="18"/>
        <v>0</v>
      </c>
      <c r="W126" s="588">
        <v>0</v>
      </c>
      <c r="X126" s="608">
        <v>0</v>
      </c>
      <c r="Y126" s="73"/>
      <c r="Z126" s="589">
        <f t="shared" si="19"/>
        <v>314</v>
      </c>
      <c r="AA126" s="609">
        <v>0</v>
      </c>
      <c r="AB126" s="604">
        <f t="shared" si="14"/>
        <v>314</v>
      </c>
      <c r="AD126" s="611" t="str">
        <f t="shared" si="15"/>
        <v>Indian River State College</v>
      </c>
      <c r="AE126" s="610">
        <v>281</v>
      </c>
      <c r="AF126" s="610">
        <v>33</v>
      </c>
      <c r="AG126" s="586">
        <f t="shared" si="16"/>
        <v>314</v>
      </c>
    </row>
    <row r="127" spans="1:50" ht="25.35" customHeight="1">
      <c r="A127" s="611" t="str">
        <f t="shared" si="7"/>
        <v>Florida Gateway College</v>
      </c>
      <c r="B127" s="579">
        <v>139</v>
      </c>
      <c r="C127" s="585"/>
      <c r="D127" s="912">
        <f t="shared" si="8"/>
        <v>139</v>
      </c>
      <c r="E127" s="1010">
        <v>972.04543603941056</v>
      </c>
      <c r="F127" s="587">
        <v>19.259017995277258</v>
      </c>
      <c r="G127" s="586">
        <f t="shared" si="9"/>
        <v>991.30445403468786</v>
      </c>
      <c r="H127" s="1075">
        <v>438.39523551705469</v>
      </c>
      <c r="I127" s="1076">
        <v>8.04981050351922</v>
      </c>
      <c r="J127" s="586">
        <f t="shared" si="17"/>
        <v>446.4450460205739</v>
      </c>
      <c r="K127" s="606">
        <v>41.75722543352601</v>
      </c>
      <c r="L127" s="580">
        <v>1.2427745664739884</v>
      </c>
      <c r="M127" s="607">
        <f t="shared" si="10"/>
        <v>43</v>
      </c>
      <c r="N127" s="606">
        <v>13</v>
      </c>
      <c r="O127" s="580">
        <v>0</v>
      </c>
      <c r="P127" s="607">
        <f t="shared" si="11"/>
        <v>13</v>
      </c>
      <c r="Q127" s="606">
        <v>365.23071504050722</v>
      </c>
      <c r="R127" s="588">
        <v>2.3395561817541388</v>
      </c>
      <c r="S127" s="586">
        <f t="shared" si="12"/>
        <v>367.57027122226134</v>
      </c>
      <c r="T127" s="607">
        <f t="shared" si="13"/>
        <v>2000.3197712775232</v>
      </c>
      <c r="V127" s="603">
        <f t="shared" si="18"/>
        <v>0</v>
      </c>
      <c r="W127" s="588">
        <v>0</v>
      </c>
      <c r="X127" s="608">
        <v>0</v>
      </c>
      <c r="Y127" s="73"/>
      <c r="Z127" s="589">
        <f t="shared" si="19"/>
        <v>8</v>
      </c>
      <c r="AA127" s="609">
        <v>0</v>
      </c>
      <c r="AB127" s="604">
        <f t="shared" si="14"/>
        <v>8</v>
      </c>
      <c r="AD127" s="611" t="str">
        <f t="shared" si="15"/>
        <v>Florida Gateway College</v>
      </c>
      <c r="AE127" s="610">
        <v>7</v>
      </c>
      <c r="AF127" s="610">
        <v>1</v>
      </c>
      <c r="AG127" s="586">
        <f t="shared" si="16"/>
        <v>8</v>
      </c>
    </row>
    <row r="128" spans="1:50" ht="25.35" customHeight="1">
      <c r="A128" s="611" t="str">
        <f t="shared" si="7"/>
        <v>Lake-Sumter State College</v>
      </c>
      <c r="B128" s="579">
        <v>326</v>
      </c>
      <c r="C128" s="585"/>
      <c r="D128" s="912">
        <f t="shared" si="8"/>
        <v>326</v>
      </c>
      <c r="E128" s="1010">
        <v>2770.4267466217602</v>
      </c>
      <c r="F128" s="587">
        <v>57.403047603400829</v>
      </c>
      <c r="G128" s="586">
        <f t="shared" si="9"/>
        <v>2827.8297942251611</v>
      </c>
      <c r="H128" s="1075">
        <v>739.41467540706276</v>
      </c>
      <c r="I128" s="1076">
        <v>11.243814759991542</v>
      </c>
      <c r="J128" s="586">
        <f t="shared" si="17"/>
        <v>750.65849016705431</v>
      </c>
      <c r="K128" s="606">
        <v>88.874226804123708</v>
      </c>
      <c r="L128" s="580">
        <v>7.1257731958762882</v>
      </c>
      <c r="M128" s="607">
        <f t="shared" si="10"/>
        <v>96</v>
      </c>
      <c r="N128" s="606">
        <v>0</v>
      </c>
      <c r="O128" s="580">
        <v>0</v>
      </c>
      <c r="P128" s="607">
        <f t="shared" si="11"/>
        <v>0</v>
      </c>
      <c r="Q128" s="606">
        <v>0</v>
      </c>
      <c r="R128" s="588">
        <v>0</v>
      </c>
      <c r="S128" s="586">
        <f t="shared" si="12"/>
        <v>0</v>
      </c>
      <c r="T128" s="607">
        <f t="shared" si="13"/>
        <v>4000.4882843922155</v>
      </c>
      <c r="V128" s="603">
        <f t="shared" si="18"/>
        <v>0</v>
      </c>
      <c r="W128" s="588">
        <v>0</v>
      </c>
      <c r="X128" s="608">
        <v>0</v>
      </c>
      <c r="Y128" s="73"/>
      <c r="Z128" s="589">
        <f t="shared" si="19"/>
        <v>0</v>
      </c>
      <c r="AA128" s="609">
        <v>0</v>
      </c>
      <c r="AB128" s="604">
        <f t="shared" si="14"/>
        <v>0</v>
      </c>
      <c r="AD128" s="611" t="str">
        <f t="shared" si="15"/>
        <v>Lake-Sumter State College</v>
      </c>
      <c r="AE128" s="610">
        <v>0</v>
      </c>
      <c r="AF128" s="610">
        <v>0</v>
      </c>
      <c r="AG128" s="586">
        <f t="shared" si="16"/>
        <v>0</v>
      </c>
    </row>
    <row r="129" spans="1:44" ht="25.35" customHeight="1">
      <c r="A129" s="611" t="str">
        <f t="shared" si="7"/>
        <v>State College of Florida, Manatee-Sarasota</v>
      </c>
      <c r="B129" s="579">
        <v>540</v>
      </c>
      <c r="C129" s="585"/>
      <c r="D129" s="912">
        <f t="shared" si="8"/>
        <v>540</v>
      </c>
      <c r="E129" s="1010">
        <v>4503.3959543885703</v>
      </c>
      <c r="F129" s="587">
        <v>243.45799292236444</v>
      </c>
      <c r="G129" s="586">
        <f t="shared" si="9"/>
        <v>4746.8539473109349</v>
      </c>
      <c r="H129" s="1075">
        <v>595.90187069248441</v>
      </c>
      <c r="I129" s="1076">
        <v>29.070889399409257</v>
      </c>
      <c r="J129" s="586">
        <f t="shared" si="17"/>
        <v>624.97276009189363</v>
      </c>
      <c r="K129" s="606">
        <v>130.37872070930968</v>
      </c>
      <c r="L129" s="580">
        <v>17.62127929069031</v>
      </c>
      <c r="M129" s="607">
        <f t="shared" si="10"/>
        <v>148</v>
      </c>
      <c r="N129" s="606">
        <v>5</v>
      </c>
      <c r="O129" s="580">
        <v>0</v>
      </c>
      <c r="P129" s="607">
        <f t="shared" si="11"/>
        <v>5</v>
      </c>
      <c r="Q129" s="606">
        <v>0</v>
      </c>
      <c r="R129" s="588">
        <v>0</v>
      </c>
      <c r="S129" s="586">
        <f t="shared" si="12"/>
        <v>0</v>
      </c>
      <c r="T129" s="607">
        <f t="shared" si="13"/>
        <v>6064.8267074028281</v>
      </c>
      <c r="V129" s="603">
        <f t="shared" si="18"/>
        <v>0</v>
      </c>
      <c r="W129" s="588">
        <v>0</v>
      </c>
      <c r="X129" s="608">
        <v>0</v>
      </c>
      <c r="Y129" s="73"/>
      <c r="Z129" s="589">
        <f t="shared" si="19"/>
        <v>0</v>
      </c>
      <c r="AA129" s="609">
        <v>0</v>
      </c>
      <c r="AB129" s="604">
        <f t="shared" si="14"/>
        <v>0</v>
      </c>
      <c r="AD129" s="611" t="str">
        <f t="shared" si="15"/>
        <v>State College of Florida, Manatee-Sarasota</v>
      </c>
      <c r="AE129" s="610">
        <v>0</v>
      </c>
      <c r="AF129" s="610">
        <v>0</v>
      </c>
      <c r="AG129" s="586">
        <f t="shared" si="16"/>
        <v>0</v>
      </c>
    </row>
    <row r="130" spans="1:44" ht="25.35" customHeight="1">
      <c r="A130" s="611" t="str">
        <f t="shared" si="7"/>
        <v>Miami Dade College</v>
      </c>
      <c r="B130" s="579">
        <v>2684</v>
      </c>
      <c r="C130" s="585"/>
      <c r="D130" s="912">
        <f t="shared" si="8"/>
        <v>2684</v>
      </c>
      <c r="E130" s="1010">
        <v>32811.096035643328</v>
      </c>
      <c r="F130" s="587">
        <v>1708.0520363343987</v>
      </c>
      <c r="G130" s="586">
        <f t="shared" si="9"/>
        <v>34519.148071977725</v>
      </c>
      <c r="H130" s="1075">
        <v>4800.2542313117065</v>
      </c>
      <c r="I130" s="1076">
        <v>228.85987306064882</v>
      </c>
      <c r="J130" s="586">
        <f t="shared" si="17"/>
        <v>5029.1141043723555</v>
      </c>
      <c r="K130" s="606">
        <v>1205.3644486856945</v>
      </c>
      <c r="L130" s="580">
        <v>108.63555131430553</v>
      </c>
      <c r="M130" s="607">
        <f t="shared" si="10"/>
        <v>1314</v>
      </c>
      <c r="N130" s="606">
        <v>108.94827586206897</v>
      </c>
      <c r="O130" s="580">
        <v>5.1724137931034489E-2</v>
      </c>
      <c r="P130" s="607">
        <f t="shared" si="11"/>
        <v>109</v>
      </c>
      <c r="Q130" s="606">
        <v>749.32402148887184</v>
      </c>
      <c r="R130" s="588">
        <v>36.675978511128164</v>
      </c>
      <c r="S130" s="586">
        <f t="shared" si="12"/>
        <v>786</v>
      </c>
      <c r="T130" s="607">
        <f t="shared" si="13"/>
        <v>44441.262176350079</v>
      </c>
      <c r="V130" s="603">
        <f t="shared" si="18"/>
        <v>0</v>
      </c>
      <c r="W130" s="588">
        <v>0</v>
      </c>
      <c r="X130" s="608">
        <v>0</v>
      </c>
      <c r="Y130" s="73"/>
      <c r="Z130" s="589">
        <f t="shared" si="19"/>
        <v>14.229783207157197</v>
      </c>
      <c r="AA130" s="609">
        <v>2427.7702167928428</v>
      </c>
      <c r="AB130" s="604">
        <f t="shared" si="14"/>
        <v>2442</v>
      </c>
      <c r="AD130" s="611" t="str">
        <f t="shared" si="15"/>
        <v>Miami Dade College</v>
      </c>
      <c r="AE130" s="610">
        <v>2441</v>
      </c>
      <c r="AF130" s="610">
        <v>1</v>
      </c>
      <c r="AG130" s="586">
        <f t="shared" si="16"/>
        <v>2442</v>
      </c>
    </row>
    <row r="131" spans="1:44" ht="25.35" customHeight="1">
      <c r="A131" s="611" t="str">
        <f t="shared" si="7"/>
        <v>North Florida College</v>
      </c>
      <c r="B131" s="579">
        <v>41</v>
      </c>
      <c r="C131" s="585"/>
      <c r="D131" s="912">
        <f t="shared" si="8"/>
        <v>41</v>
      </c>
      <c r="E131" s="1010">
        <v>437.91369935099107</v>
      </c>
      <c r="F131" s="587">
        <v>17.798456411155936</v>
      </c>
      <c r="G131" s="586">
        <f t="shared" si="9"/>
        <v>455.71215576214701</v>
      </c>
      <c r="H131" s="1075">
        <v>94.950131233595798</v>
      </c>
      <c r="I131" s="1076">
        <v>12.866141732283467</v>
      </c>
      <c r="J131" s="586">
        <f t="shared" si="17"/>
        <v>107.81627296587926</v>
      </c>
      <c r="K131" s="606">
        <v>10.632911392405063</v>
      </c>
      <c r="L131" s="580">
        <v>1.3670886075949367</v>
      </c>
      <c r="M131" s="607">
        <f t="shared" si="10"/>
        <v>12</v>
      </c>
      <c r="N131" s="606">
        <v>0</v>
      </c>
      <c r="O131" s="580">
        <v>0</v>
      </c>
      <c r="P131" s="607">
        <f t="shared" si="11"/>
        <v>0</v>
      </c>
      <c r="Q131" s="606">
        <v>89.716269841269835</v>
      </c>
      <c r="R131" s="588">
        <v>8.174603174603174</v>
      </c>
      <c r="S131" s="586">
        <f t="shared" si="12"/>
        <v>97.890873015873012</v>
      </c>
      <c r="T131" s="607">
        <f t="shared" si="13"/>
        <v>714.41930174389927</v>
      </c>
      <c r="V131" s="603">
        <f t="shared" si="18"/>
        <v>0</v>
      </c>
      <c r="W131" s="588">
        <v>0</v>
      </c>
      <c r="X131" s="608">
        <v>0</v>
      </c>
      <c r="Y131" s="73"/>
      <c r="Z131" s="589">
        <f t="shared" si="19"/>
        <v>0</v>
      </c>
      <c r="AA131" s="609">
        <v>0</v>
      </c>
      <c r="AB131" s="604">
        <f t="shared" si="14"/>
        <v>0</v>
      </c>
      <c r="AD131" s="611" t="str">
        <f t="shared" si="15"/>
        <v>North Florida College</v>
      </c>
      <c r="AE131" s="610">
        <v>0</v>
      </c>
      <c r="AF131" s="610">
        <v>0</v>
      </c>
      <c r="AG131" s="586">
        <f t="shared" si="16"/>
        <v>0</v>
      </c>
    </row>
    <row r="132" spans="1:44" ht="25.35" customHeight="1">
      <c r="A132" s="611" t="str">
        <f t="shared" si="7"/>
        <v>Northwest Florida State College</v>
      </c>
      <c r="B132" s="579">
        <v>269</v>
      </c>
      <c r="C132" s="585"/>
      <c r="D132" s="912">
        <f t="shared" si="8"/>
        <v>269</v>
      </c>
      <c r="E132" s="1010">
        <v>1484.0341370144101</v>
      </c>
      <c r="F132" s="587">
        <v>142.8721727370237</v>
      </c>
      <c r="G132" s="586">
        <f t="shared" si="9"/>
        <v>1626.9063097514338</v>
      </c>
      <c r="H132" s="1075">
        <v>573.16556047197639</v>
      </c>
      <c r="I132" s="1076">
        <v>47.271386430678469</v>
      </c>
      <c r="J132" s="586">
        <f t="shared" si="17"/>
        <v>620.43694690265488</v>
      </c>
      <c r="K132" s="606">
        <v>41.11350293542074</v>
      </c>
      <c r="L132" s="580">
        <v>5.886497064579256</v>
      </c>
      <c r="M132" s="607">
        <f t="shared" si="10"/>
        <v>47</v>
      </c>
      <c r="N132" s="606">
        <v>0</v>
      </c>
      <c r="O132" s="580">
        <v>0</v>
      </c>
      <c r="P132" s="607">
        <f t="shared" si="11"/>
        <v>0</v>
      </c>
      <c r="Q132" s="606">
        <v>220.32372093023255</v>
      </c>
      <c r="R132" s="588">
        <v>3.9944186046511629</v>
      </c>
      <c r="S132" s="586">
        <f t="shared" si="12"/>
        <v>224.31813953488373</v>
      </c>
      <c r="T132" s="607">
        <f t="shared" si="13"/>
        <v>2787.6613961889725</v>
      </c>
      <c r="V132" s="603">
        <f t="shared" si="18"/>
        <v>0</v>
      </c>
      <c r="W132" s="588">
        <v>0</v>
      </c>
      <c r="X132" s="608">
        <v>0</v>
      </c>
      <c r="Y132" s="73"/>
      <c r="Z132" s="589">
        <f t="shared" si="19"/>
        <v>0</v>
      </c>
      <c r="AA132" s="609">
        <v>0</v>
      </c>
      <c r="AB132" s="604">
        <f t="shared" si="14"/>
        <v>0</v>
      </c>
      <c r="AD132" s="611" t="str">
        <f t="shared" si="15"/>
        <v>Northwest Florida State College</v>
      </c>
      <c r="AE132" s="610">
        <v>0</v>
      </c>
      <c r="AF132" s="610">
        <v>0</v>
      </c>
      <c r="AG132" s="586">
        <f t="shared" si="16"/>
        <v>0</v>
      </c>
    </row>
    <row r="133" spans="1:44" ht="25.35" customHeight="1">
      <c r="A133" s="611" t="str">
        <f t="shared" si="7"/>
        <v>Palm Beach State College</v>
      </c>
      <c r="B133" s="579">
        <v>984</v>
      </c>
      <c r="C133" s="585"/>
      <c r="D133" s="912">
        <f t="shared" si="8"/>
        <v>984</v>
      </c>
      <c r="E133" s="1010">
        <v>12864.349806224876</v>
      </c>
      <c r="F133" s="587">
        <v>627.3119418433912</v>
      </c>
      <c r="G133" s="586">
        <f t="shared" si="9"/>
        <v>13491.661748068267</v>
      </c>
      <c r="H133" s="1075">
        <v>1513.727305976154</v>
      </c>
      <c r="I133" s="1076">
        <v>40.026991441737991</v>
      </c>
      <c r="J133" s="586">
        <f t="shared" si="17"/>
        <v>1553.7542974178918</v>
      </c>
      <c r="K133" s="606">
        <v>436.05345464884846</v>
      </c>
      <c r="L133" s="580">
        <v>43.946545351151549</v>
      </c>
      <c r="M133" s="607">
        <f t="shared" si="10"/>
        <v>480</v>
      </c>
      <c r="N133" s="606">
        <v>16</v>
      </c>
      <c r="O133" s="580">
        <v>0</v>
      </c>
      <c r="P133" s="607">
        <f t="shared" si="11"/>
        <v>16</v>
      </c>
      <c r="Q133" s="606">
        <v>821.02277580071177</v>
      </c>
      <c r="R133" s="588">
        <v>22.977224199288258</v>
      </c>
      <c r="S133" s="586">
        <f t="shared" si="12"/>
        <v>844</v>
      </c>
      <c r="T133" s="607">
        <f t="shared" si="13"/>
        <v>17369.416045486159</v>
      </c>
      <c r="V133" s="603">
        <f t="shared" si="18"/>
        <v>0</v>
      </c>
      <c r="W133" s="588">
        <v>0</v>
      </c>
      <c r="X133" s="608">
        <v>0</v>
      </c>
      <c r="Y133" s="73"/>
      <c r="Z133" s="589">
        <f t="shared" si="19"/>
        <v>0</v>
      </c>
      <c r="AA133" s="609">
        <v>0</v>
      </c>
      <c r="AB133" s="604">
        <f t="shared" si="14"/>
        <v>0</v>
      </c>
      <c r="AD133" s="611" t="str">
        <f t="shared" si="15"/>
        <v>Palm Beach State College</v>
      </c>
      <c r="AE133" s="610">
        <v>0</v>
      </c>
      <c r="AF133" s="610">
        <v>0</v>
      </c>
      <c r="AG133" s="586">
        <f t="shared" si="16"/>
        <v>0</v>
      </c>
    </row>
    <row r="134" spans="1:44" ht="25.35" customHeight="1">
      <c r="A134" s="611" t="str">
        <f t="shared" si="7"/>
        <v>Pasco-Hernando State College</v>
      </c>
      <c r="B134" s="579">
        <v>226</v>
      </c>
      <c r="C134" s="585"/>
      <c r="D134" s="912">
        <f t="shared" si="8"/>
        <v>226</v>
      </c>
      <c r="E134" s="1010">
        <v>3031.9107998018385</v>
      </c>
      <c r="F134" s="587">
        <v>22.13320856498046</v>
      </c>
      <c r="G134" s="586">
        <f t="shared" si="9"/>
        <v>3054.0440083668191</v>
      </c>
      <c r="H134" s="1075">
        <v>1786.3048010656166</v>
      </c>
      <c r="I134" s="1076">
        <v>10.992644929634563</v>
      </c>
      <c r="J134" s="586">
        <f t="shared" si="17"/>
        <v>1797.2974459952511</v>
      </c>
      <c r="K134" s="606">
        <v>135.33588435374151</v>
      </c>
      <c r="L134" s="580">
        <v>3.6641156462585034</v>
      </c>
      <c r="M134" s="607">
        <f t="shared" si="10"/>
        <v>139</v>
      </c>
      <c r="N134" s="606">
        <v>14</v>
      </c>
      <c r="O134" s="580">
        <v>0</v>
      </c>
      <c r="P134" s="607">
        <f t="shared" si="11"/>
        <v>14</v>
      </c>
      <c r="Q134" s="606">
        <v>281.87153881071265</v>
      </c>
      <c r="R134" s="588">
        <v>6.2850658193372659</v>
      </c>
      <c r="S134" s="586">
        <f t="shared" si="12"/>
        <v>288.15660463004991</v>
      </c>
      <c r="T134" s="607">
        <f t="shared" si="13"/>
        <v>5518.4980589921197</v>
      </c>
      <c r="V134" s="603">
        <f t="shared" si="18"/>
        <v>0</v>
      </c>
      <c r="W134" s="588">
        <v>0</v>
      </c>
      <c r="X134" s="608">
        <v>0</v>
      </c>
      <c r="Y134" s="73"/>
      <c r="Z134" s="589">
        <f t="shared" si="19"/>
        <v>0</v>
      </c>
      <c r="AA134" s="609">
        <v>0</v>
      </c>
      <c r="AB134" s="604">
        <f t="shared" si="14"/>
        <v>0</v>
      </c>
      <c r="AD134" s="611" t="str">
        <f t="shared" si="15"/>
        <v>Pasco-Hernando State College</v>
      </c>
      <c r="AE134" s="610">
        <v>0</v>
      </c>
      <c r="AF134" s="610">
        <v>0</v>
      </c>
      <c r="AG134" s="586">
        <f t="shared" si="16"/>
        <v>0</v>
      </c>
    </row>
    <row r="135" spans="1:44" ht="25.35" customHeight="1">
      <c r="A135" s="611" t="str">
        <f t="shared" si="7"/>
        <v>Pensacola State College</v>
      </c>
      <c r="B135" s="579">
        <v>397</v>
      </c>
      <c r="C135" s="585"/>
      <c r="D135" s="912">
        <f t="shared" si="8"/>
        <v>397</v>
      </c>
      <c r="E135" s="1010">
        <v>3777.5502279250377</v>
      </c>
      <c r="F135" s="587">
        <v>163.15178119196355</v>
      </c>
      <c r="G135" s="586">
        <f t="shared" si="9"/>
        <v>3940.7020091170011</v>
      </c>
      <c r="H135" s="1075">
        <v>1487.0686918177364</v>
      </c>
      <c r="I135" s="1076">
        <v>39.994512493875547</v>
      </c>
      <c r="J135" s="586">
        <f t="shared" si="17"/>
        <v>1527.063204311612</v>
      </c>
      <c r="K135" s="606">
        <v>207.79527559055117</v>
      </c>
      <c r="L135" s="580">
        <v>24.204724409448819</v>
      </c>
      <c r="M135" s="607">
        <f t="shared" si="10"/>
        <v>232</v>
      </c>
      <c r="N135" s="606">
        <v>0</v>
      </c>
      <c r="O135" s="580">
        <v>0</v>
      </c>
      <c r="P135" s="607">
        <f t="shared" si="11"/>
        <v>0</v>
      </c>
      <c r="Q135" s="606">
        <v>386.85208596713022</v>
      </c>
      <c r="R135" s="588">
        <v>10.366624525916562</v>
      </c>
      <c r="S135" s="586">
        <f t="shared" si="12"/>
        <v>397.21871049304679</v>
      </c>
      <c r="T135" s="607">
        <f t="shared" si="13"/>
        <v>6493.9839239216608</v>
      </c>
      <c r="V135" s="603">
        <f t="shared" si="18"/>
        <v>0</v>
      </c>
      <c r="W135" s="588">
        <v>0</v>
      </c>
      <c r="X135" s="608">
        <v>0</v>
      </c>
      <c r="Y135" s="73"/>
      <c r="Z135" s="589">
        <f t="shared" si="19"/>
        <v>0</v>
      </c>
      <c r="AA135" s="609">
        <v>0</v>
      </c>
      <c r="AB135" s="604">
        <f t="shared" si="14"/>
        <v>0</v>
      </c>
      <c r="AD135" s="611" t="str">
        <f t="shared" si="15"/>
        <v>Pensacola State College</v>
      </c>
      <c r="AE135" s="610">
        <v>0</v>
      </c>
      <c r="AF135" s="610">
        <v>0</v>
      </c>
      <c r="AG135" s="586">
        <f t="shared" si="16"/>
        <v>0</v>
      </c>
    </row>
    <row r="136" spans="1:44" ht="25.35" customHeight="1">
      <c r="A136" s="611" t="str">
        <f t="shared" si="7"/>
        <v>Polk State College</v>
      </c>
      <c r="B136" s="579">
        <v>598</v>
      </c>
      <c r="C136" s="585"/>
      <c r="D136" s="912">
        <f t="shared" si="8"/>
        <v>598</v>
      </c>
      <c r="E136" s="1010">
        <v>3270.7289465840977</v>
      </c>
      <c r="F136" s="587">
        <v>109.61996224790543</v>
      </c>
      <c r="G136" s="586">
        <f t="shared" si="9"/>
        <v>3380.348908832003</v>
      </c>
      <c r="H136" s="1075">
        <v>1482.6313099041533</v>
      </c>
      <c r="I136" s="1076">
        <v>33.569488817891376</v>
      </c>
      <c r="J136" s="586">
        <f t="shared" si="17"/>
        <v>1516.2007987220447</v>
      </c>
      <c r="K136" s="606">
        <v>90.688282138794079</v>
      </c>
      <c r="L136" s="580">
        <v>16.311717861205917</v>
      </c>
      <c r="M136" s="607">
        <f t="shared" si="10"/>
        <v>107</v>
      </c>
      <c r="N136" s="606">
        <v>0</v>
      </c>
      <c r="O136" s="580">
        <v>0</v>
      </c>
      <c r="P136" s="607">
        <f t="shared" si="11"/>
        <v>0</v>
      </c>
      <c r="Q136" s="606">
        <v>162.83748753738783</v>
      </c>
      <c r="R136" s="588">
        <v>0.16251246261216354</v>
      </c>
      <c r="S136" s="586">
        <f t="shared" si="12"/>
        <v>163</v>
      </c>
      <c r="T136" s="607">
        <f t="shared" si="13"/>
        <v>5764.5497075540479</v>
      </c>
      <c r="V136" s="603">
        <f t="shared" si="18"/>
        <v>0</v>
      </c>
      <c r="W136" s="588">
        <v>0</v>
      </c>
      <c r="X136" s="608">
        <v>0</v>
      </c>
      <c r="Y136" s="73"/>
      <c r="Z136" s="589">
        <f t="shared" si="19"/>
        <v>0</v>
      </c>
      <c r="AA136" s="609">
        <v>0</v>
      </c>
      <c r="AB136" s="604">
        <f t="shared" si="14"/>
        <v>0</v>
      </c>
      <c r="AD136" s="611" t="str">
        <f t="shared" si="15"/>
        <v>Polk State College</v>
      </c>
      <c r="AE136" s="610">
        <v>0</v>
      </c>
      <c r="AF136" s="610">
        <v>0</v>
      </c>
      <c r="AG136" s="586">
        <f t="shared" si="16"/>
        <v>0</v>
      </c>
    </row>
    <row r="137" spans="1:44" ht="25.35" customHeight="1">
      <c r="A137" s="611" t="str">
        <f t="shared" si="7"/>
        <v>St. Johns River State College</v>
      </c>
      <c r="B137" s="579">
        <v>258</v>
      </c>
      <c r="C137" s="585"/>
      <c r="D137" s="912">
        <f t="shared" si="8"/>
        <v>258</v>
      </c>
      <c r="E137" s="1010">
        <v>2321.8601100656842</v>
      </c>
      <c r="F137" s="587">
        <v>70.206284395526353</v>
      </c>
      <c r="G137" s="586">
        <f t="shared" si="9"/>
        <v>2392.0663944612106</v>
      </c>
      <c r="H137" s="1075">
        <v>787.84250474383305</v>
      </c>
      <c r="I137" s="1076">
        <v>12.924098671726757</v>
      </c>
      <c r="J137" s="586">
        <f t="shared" si="17"/>
        <v>800.76660341555976</v>
      </c>
      <c r="K137" s="606">
        <v>19.5</v>
      </c>
      <c r="L137" s="580">
        <v>0.5</v>
      </c>
      <c r="M137" s="607">
        <f t="shared" si="10"/>
        <v>20</v>
      </c>
      <c r="N137" s="606">
        <v>4.931034482758621</v>
      </c>
      <c r="O137" s="580">
        <v>6.8965517241379309E-2</v>
      </c>
      <c r="P137" s="607">
        <f t="shared" si="11"/>
        <v>5</v>
      </c>
      <c r="Q137" s="606">
        <v>128.6935866983373</v>
      </c>
      <c r="R137" s="588">
        <v>0.30641330166270786</v>
      </c>
      <c r="S137" s="586">
        <f t="shared" si="12"/>
        <v>129</v>
      </c>
      <c r="T137" s="607">
        <f t="shared" si="13"/>
        <v>3604.8329978767706</v>
      </c>
      <c r="V137" s="603">
        <f t="shared" si="18"/>
        <v>0</v>
      </c>
      <c r="W137" s="588">
        <v>0</v>
      </c>
      <c r="X137" s="608">
        <v>0</v>
      </c>
      <c r="Y137" s="73"/>
      <c r="Z137" s="589">
        <f t="shared" si="19"/>
        <v>20</v>
      </c>
      <c r="AA137" s="609">
        <v>0</v>
      </c>
      <c r="AB137" s="604">
        <f t="shared" si="14"/>
        <v>20</v>
      </c>
      <c r="AD137" s="611" t="str">
        <f t="shared" si="15"/>
        <v>St. Johns River State College</v>
      </c>
      <c r="AE137" s="610">
        <v>13</v>
      </c>
      <c r="AF137" s="610">
        <v>7</v>
      </c>
      <c r="AG137" s="586">
        <f t="shared" si="16"/>
        <v>20</v>
      </c>
    </row>
    <row r="138" spans="1:44" ht="25.35" customHeight="1">
      <c r="A138" s="611" t="str">
        <f t="shared" si="7"/>
        <v>St. Petersburg College</v>
      </c>
      <c r="B138" s="579">
        <v>2424</v>
      </c>
      <c r="C138" s="585"/>
      <c r="D138" s="912">
        <f t="shared" si="8"/>
        <v>2424</v>
      </c>
      <c r="E138" s="1010">
        <v>6903.662039302546</v>
      </c>
      <c r="F138" s="587">
        <v>318.84271254539368</v>
      </c>
      <c r="G138" s="586">
        <f t="shared" si="9"/>
        <v>7222.5047518479396</v>
      </c>
      <c r="H138" s="1075">
        <v>3832.4361090272564</v>
      </c>
      <c r="I138" s="1076">
        <v>143.21800450112528</v>
      </c>
      <c r="J138" s="586">
        <f t="shared" si="17"/>
        <v>3975.6541135283815</v>
      </c>
      <c r="K138" s="606">
        <v>321.94940566900334</v>
      </c>
      <c r="L138" s="580">
        <v>40.050594330996645</v>
      </c>
      <c r="M138" s="607">
        <f t="shared" si="10"/>
        <v>362</v>
      </c>
      <c r="N138" s="606">
        <v>0</v>
      </c>
      <c r="O138" s="580">
        <v>0</v>
      </c>
      <c r="P138" s="607">
        <f t="shared" si="11"/>
        <v>0</v>
      </c>
      <c r="Q138" s="606">
        <v>126.30788026878436</v>
      </c>
      <c r="R138" s="588">
        <v>62.692119731215641</v>
      </c>
      <c r="S138" s="586">
        <f t="shared" si="12"/>
        <v>189</v>
      </c>
      <c r="T138" s="607">
        <f t="shared" si="13"/>
        <v>14173.158865376321</v>
      </c>
      <c r="V138" s="603">
        <f t="shared" si="18"/>
        <v>0</v>
      </c>
      <c r="W138" s="588">
        <v>0</v>
      </c>
      <c r="X138" s="608">
        <v>0</v>
      </c>
      <c r="Y138" s="73"/>
      <c r="Z138" s="589">
        <f t="shared" si="19"/>
        <v>0</v>
      </c>
      <c r="AA138" s="609">
        <v>0</v>
      </c>
      <c r="AB138" s="604">
        <f t="shared" si="14"/>
        <v>0</v>
      </c>
      <c r="AD138" s="611" t="str">
        <f t="shared" si="15"/>
        <v>St. Petersburg College</v>
      </c>
      <c r="AE138" s="610">
        <v>0</v>
      </c>
      <c r="AF138" s="610">
        <v>0</v>
      </c>
      <c r="AG138" s="586">
        <f t="shared" si="16"/>
        <v>0</v>
      </c>
    </row>
    <row r="139" spans="1:44" ht="25.35" customHeight="1">
      <c r="A139" s="611" t="str">
        <f t="shared" si="7"/>
        <v>Santa Fe College</v>
      </c>
      <c r="B139" s="579">
        <v>507</v>
      </c>
      <c r="C139" s="585"/>
      <c r="D139" s="912">
        <f t="shared" si="8"/>
        <v>507</v>
      </c>
      <c r="E139" s="1010">
        <v>5847.3813979632323</v>
      </c>
      <c r="F139" s="587">
        <v>487.99824758629813</v>
      </c>
      <c r="G139" s="586">
        <f t="shared" si="9"/>
        <v>6335.3796455495303</v>
      </c>
      <c r="H139" s="1075">
        <v>2342.3378048780487</v>
      </c>
      <c r="I139" s="1076">
        <v>129.20609756097562</v>
      </c>
      <c r="J139" s="586">
        <f t="shared" si="17"/>
        <v>2471.5439024390244</v>
      </c>
      <c r="K139" s="606">
        <v>203.43056160208968</v>
      </c>
      <c r="L139" s="580">
        <v>36.569438397910318</v>
      </c>
      <c r="M139" s="607">
        <f t="shared" si="10"/>
        <v>240</v>
      </c>
      <c r="N139" s="606">
        <v>0</v>
      </c>
      <c r="O139" s="580">
        <v>0</v>
      </c>
      <c r="P139" s="607">
        <f t="shared" si="11"/>
        <v>0</v>
      </c>
      <c r="Q139" s="606">
        <v>251.58134065072522</v>
      </c>
      <c r="R139" s="588">
        <v>7.9686397491179939</v>
      </c>
      <c r="S139" s="586">
        <f t="shared" si="12"/>
        <v>259.54998039984321</v>
      </c>
      <c r="T139" s="607">
        <f t="shared" si="13"/>
        <v>9813.4735283883965</v>
      </c>
      <c r="V139" s="603">
        <f t="shared" si="18"/>
        <v>3</v>
      </c>
      <c r="W139" s="588">
        <v>0</v>
      </c>
      <c r="X139" s="608">
        <v>3</v>
      </c>
      <c r="Y139" s="73"/>
      <c r="Z139" s="589">
        <f t="shared" si="19"/>
        <v>21.863694267515925</v>
      </c>
      <c r="AA139" s="609">
        <v>86.136305732484075</v>
      </c>
      <c r="AB139" s="604">
        <f t="shared" si="14"/>
        <v>108</v>
      </c>
      <c r="AD139" s="611" t="str">
        <f t="shared" si="15"/>
        <v>Santa Fe College</v>
      </c>
      <c r="AE139" s="610">
        <v>99</v>
      </c>
      <c r="AF139" s="610">
        <v>9</v>
      </c>
      <c r="AG139" s="586">
        <f t="shared" si="16"/>
        <v>108</v>
      </c>
    </row>
    <row r="140" spans="1:44" ht="25.35" customHeight="1">
      <c r="A140" s="611" t="str">
        <f t="shared" si="7"/>
        <v>Seminole State College of Florida</v>
      </c>
      <c r="B140" s="579">
        <v>1059</v>
      </c>
      <c r="C140" s="585"/>
      <c r="D140" s="912">
        <f t="shared" si="8"/>
        <v>1059</v>
      </c>
      <c r="E140" s="1010">
        <v>5897.2657185101743</v>
      </c>
      <c r="F140" s="587">
        <v>145.93114130817435</v>
      </c>
      <c r="G140" s="586">
        <f t="shared" si="9"/>
        <v>6043.1968598183485</v>
      </c>
      <c r="H140" s="1075">
        <v>2461.1250515579891</v>
      </c>
      <c r="I140" s="1076">
        <v>128.23997900183736</v>
      </c>
      <c r="J140" s="586">
        <f t="shared" si="17"/>
        <v>2589.3650305598267</v>
      </c>
      <c r="K140" s="606">
        <v>158.24468085106383</v>
      </c>
      <c r="L140" s="580">
        <v>11.755319148936174</v>
      </c>
      <c r="M140" s="607">
        <f t="shared" si="10"/>
        <v>170</v>
      </c>
      <c r="N140" s="606">
        <v>57</v>
      </c>
      <c r="O140" s="580">
        <v>0</v>
      </c>
      <c r="P140" s="607">
        <f t="shared" si="11"/>
        <v>57</v>
      </c>
      <c r="Q140" s="606">
        <v>267.62107503991484</v>
      </c>
      <c r="R140" s="588">
        <v>22.378924960085151</v>
      </c>
      <c r="S140" s="586">
        <f t="shared" si="12"/>
        <v>290</v>
      </c>
      <c r="T140" s="607">
        <f t="shared" si="13"/>
        <v>10208.561890378176</v>
      </c>
      <c r="V140" s="603">
        <f t="shared" si="18"/>
        <v>0</v>
      </c>
      <c r="W140" s="588">
        <v>15</v>
      </c>
      <c r="X140" s="608">
        <v>15</v>
      </c>
      <c r="Y140" s="73"/>
      <c r="Z140" s="589">
        <f t="shared" si="19"/>
        <v>32.806472491909403</v>
      </c>
      <c r="AA140" s="609">
        <v>268.1935275080906</v>
      </c>
      <c r="AB140" s="604">
        <f t="shared" si="14"/>
        <v>301</v>
      </c>
      <c r="AD140" s="611" t="str">
        <f t="shared" si="15"/>
        <v>Seminole State College of Florida</v>
      </c>
      <c r="AE140" s="610">
        <v>278</v>
      </c>
      <c r="AF140" s="610">
        <v>23</v>
      </c>
      <c r="AG140" s="586">
        <f t="shared" si="16"/>
        <v>301</v>
      </c>
    </row>
    <row r="141" spans="1:44" ht="25.35" customHeight="1">
      <c r="A141" s="611" t="str">
        <f t="shared" si="7"/>
        <v>South Florida State College</v>
      </c>
      <c r="B141" s="579">
        <v>112</v>
      </c>
      <c r="C141" s="585"/>
      <c r="D141" s="912">
        <f t="shared" si="8"/>
        <v>112</v>
      </c>
      <c r="E141" s="1010">
        <v>1151.7085736255285</v>
      </c>
      <c r="F141" s="587">
        <v>15.235294117647062</v>
      </c>
      <c r="G141" s="586">
        <f t="shared" si="9"/>
        <v>1166.9438677431756</v>
      </c>
      <c r="H141" s="1075">
        <v>317</v>
      </c>
      <c r="I141" s="1076">
        <v>0</v>
      </c>
      <c r="J141" s="586">
        <f t="shared" si="17"/>
        <v>317</v>
      </c>
      <c r="K141" s="606">
        <v>21.681159420289855</v>
      </c>
      <c r="L141" s="580">
        <v>0.31884057971014496</v>
      </c>
      <c r="M141" s="607">
        <f t="shared" si="10"/>
        <v>22</v>
      </c>
      <c r="N141" s="606">
        <v>0</v>
      </c>
      <c r="O141" s="580">
        <v>0</v>
      </c>
      <c r="P141" s="607">
        <f t="shared" si="11"/>
        <v>0</v>
      </c>
      <c r="Q141" s="606">
        <v>285.68571428571431</v>
      </c>
      <c r="R141" s="588">
        <v>0.70714285714285718</v>
      </c>
      <c r="S141" s="586">
        <f t="shared" si="12"/>
        <v>286.39285714285717</v>
      </c>
      <c r="T141" s="607">
        <f t="shared" si="13"/>
        <v>1904.3367248860327</v>
      </c>
      <c r="V141" s="603">
        <f t="shared" si="18"/>
        <v>0</v>
      </c>
      <c r="W141" s="588">
        <v>0</v>
      </c>
      <c r="X141" s="608">
        <v>0</v>
      </c>
      <c r="Y141" s="73"/>
      <c r="Z141" s="589">
        <f t="shared" si="19"/>
        <v>45.188577222034468</v>
      </c>
      <c r="AA141" s="609">
        <v>209.81142277796553</v>
      </c>
      <c r="AB141" s="604">
        <f t="shared" si="14"/>
        <v>255</v>
      </c>
      <c r="AD141" s="611" t="str">
        <f t="shared" si="15"/>
        <v>South Florida State College</v>
      </c>
      <c r="AE141" s="610">
        <v>223</v>
      </c>
      <c r="AF141" s="610">
        <v>32</v>
      </c>
      <c r="AG141" s="586">
        <f t="shared" si="16"/>
        <v>255</v>
      </c>
    </row>
    <row r="142" spans="1:44" ht="25.35" customHeight="1">
      <c r="A142" s="611" t="str">
        <f t="shared" si="7"/>
        <v>Tallahassee State College</v>
      </c>
      <c r="B142" s="579">
        <v>242</v>
      </c>
      <c r="C142" s="585"/>
      <c r="D142" s="912">
        <f t="shared" si="8"/>
        <v>242</v>
      </c>
      <c r="E142" s="1010">
        <v>7438.5604227467211</v>
      </c>
      <c r="F142" s="587">
        <v>287.72654634063412</v>
      </c>
      <c r="G142" s="586">
        <f t="shared" si="9"/>
        <v>7726.2869690873549</v>
      </c>
      <c r="H142" s="1075">
        <v>1771.0762331838566</v>
      </c>
      <c r="I142" s="1076">
        <v>59.192825112107627</v>
      </c>
      <c r="J142" s="586">
        <f t="shared" si="17"/>
        <v>1830.2690582959642</v>
      </c>
      <c r="K142" s="606">
        <v>146.01286764705881</v>
      </c>
      <c r="L142" s="580">
        <v>19.987132352941178</v>
      </c>
      <c r="M142" s="607">
        <f t="shared" si="10"/>
        <v>166</v>
      </c>
      <c r="N142" s="606">
        <v>0</v>
      </c>
      <c r="O142" s="580">
        <v>0</v>
      </c>
      <c r="P142" s="607">
        <f t="shared" si="11"/>
        <v>0</v>
      </c>
      <c r="Q142" s="606">
        <v>388.3269789983845</v>
      </c>
      <c r="R142" s="588">
        <v>3.6730210016155089</v>
      </c>
      <c r="S142" s="586">
        <f t="shared" si="12"/>
        <v>392</v>
      </c>
      <c r="T142" s="607">
        <f t="shared" si="13"/>
        <v>10356.55602738332</v>
      </c>
      <c r="V142" s="603">
        <f t="shared" si="18"/>
        <v>0</v>
      </c>
      <c r="W142" s="588">
        <v>0</v>
      </c>
      <c r="X142" s="608">
        <v>0</v>
      </c>
      <c r="Y142" s="73"/>
      <c r="Z142" s="589">
        <f t="shared" si="19"/>
        <v>39.106753812636164</v>
      </c>
      <c r="AA142" s="609">
        <v>10.893246187363834</v>
      </c>
      <c r="AB142" s="604">
        <f t="shared" si="14"/>
        <v>50</v>
      </c>
      <c r="AD142" s="611" t="str">
        <f t="shared" si="15"/>
        <v>Tallahassee State College</v>
      </c>
      <c r="AE142" s="610">
        <v>40</v>
      </c>
      <c r="AF142" s="610">
        <v>10</v>
      </c>
      <c r="AG142" s="586">
        <f t="shared" si="16"/>
        <v>50</v>
      </c>
    </row>
    <row r="143" spans="1:44" ht="25.35" customHeight="1" thickBot="1">
      <c r="A143" s="612" t="str">
        <f t="shared" si="7"/>
        <v>Valencia College</v>
      </c>
      <c r="B143" s="541">
        <v>1474</v>
      </c>
      <c r="C143" s="565"/>
      <c r="D143" s="913">
        <f t="shared" si="8"/>
        <v>1474</v>
      </c>
      <c r="E143" s="1011">
        <v>19223.568132625191</v>
      </c>
      <c r="F143" s="566">
        <v>1754.2229230897019</v>
      </c>
      <c r="G143" s="542">
        <f t="shared" si="9"/>
        <v>20977.791055714893</v>
      </c>
      <c r="H143" s="1077">
        <v>9777.618441931656</v>
      </c>
      <c r="I143" s="1078">
        <v>739.97913412881871</v>
      </c>
      <c r="J143" s="613">
        <f t="shared" si="17"/>
        <v>10517.597576060474</v>
      </c>
      <c r="K143" s="614">
        <v>744.59271168274381</v>
      </c>
      <c r="L143" s="615">
        <v>190.40728831725616</v>
      </c>
      <c r="M143" s="616">
        <f t="shared" si="10"/>
        <v>935</v>
      </c>
      <c r="N143" s="614">
        <v>56</v>
      </c>
      <c r="O143" s="615">
        <v>0</v>
      </c>
      <c r="P143" s="616">
        <f t="shared" si="11"/>
        <v>56</v>
      </c>
      <c r="Q143" s="614">
        <v>237.25537961835161</v>
      </c>
      <c r="R143" s="617">
        <v>42.744620381648396</v>
      </c>
      <c r="S143" s="542">
        <f t="shared" si="12"/>
        <v>280</v>
      </c>
      <c r="T143" s="616">
        <f t="shared" si="13"/>
        <v>34240.388631775364</v>
      </c>
      <c r="V143" s="603">
        <f t="shared" si="18"/>
        <v>0</v>
      </c>
      <c r="W143" s="450">
        <v>0</v>
      </c>
      <c r="X143" s="451">
        <v>0</v>
      </c>
      <c r="Y143" s="73"/>
      <c r="Z143" s="618">
        <f t="shared" si="19"/>
        <v>0</v>
      </c>
      <c r="AA143" s="619">
        <v>0</v>
      </c>
      <c r="AB143" s="604">
        <f t="shared" si="14"/>
        <v>0</v>
      </c>
      <c r="AD143" s="612" t="str">
        <f t="shared" si="15"/>
        <v>Valencia College</v>
      </c>
      <c r="AE143" s="567">
        <v>0</v>
      </c>
      <c r="AF143" s="567">
        <v>0</v>
      </c>
      <c r="AG143" s="542">
        <f t="shared" si="16"/>
        <v>0</v>
      </c>
    </row>
    <row r="144" spans="1:44" ht="25.35" customHeight="1" thickBot="1">
      <c r="A144" s="369" t="s">
        <v>47</v>
      </c>
      <c r="B144" s="370">
        <f>SUM(B116:B143)</f>
        <v>19736</v>
      </c>
      <c r="C144" s="61"/>
      <c r="D144" s="384">
        <f t="shared" ref="D144:T144" si="20">SUM(D116:D143)</f>
        <v>19736</v>
      </c>
      <c r="E144" s="914">
        <f t="shared" si="20"/>
        <v>169049.70470690675</v>
      </c>
      <c r="F144" s="371">
        <f t="shared" si="20"/>
        <v>9054.0197386403324</v>
      </c>
      <c r="G144" s="384">
        <f t="shared" si="20"/>
        <v>178103.72444554704</v>
      </c>
      <c r="H144" s="394">
        <f t="shared" si="20"/>
        <v>62117.384754370352</v>
      </c>
      <c r="I144" s="371">
        <f t="shared" si="20"/>
        <v>2856.1487297649546</v>
      </c>
      <c r="J144" s="384">
        <f t="shared" si="20"/>
        <v>64973.533484135303</v>
      </c>
      <c r="K144" s="394">
        <f t="shared" si="20"/>
        <v>6938.680092073484</v>
      </c>
      <c r="L144" s="396">
        <f t="shared" si="20"/>
        <v>916.31990792651641</v>
      </c>
      <c r="M144" s="385">
        <f t="shared" si="20"/>
        <v>7855</v>
      </c>
      <c r="N144" s="394">
        <f t="shared" si="20"/>
        <v>319.52396577474013</v>
      </c>
      <c r="O144" s="396">
        <f t="shared" si="20"/>
        <v>1.4760342252598897</v>
      </c>
      <c r="P144" s="385">
        <f t="shared" si="20"/>
        <v>321</v>
      </c>
      <c r="Q144" s="393">
        <f t="shared" si="20"/>
        <v>8462.238577984137</v>
      </c>
      <c r="R144" s="395">
        <f t="shared" si="20"/>
        <v>369.72670636250933</v>
      </c>
      <c r="S144" s="386">
        <f t="shared" si="20"/>
        <v>8831.9652843466483</v>
      </c>
      <c r="T144" s="62">
        <f t="shared" si="20"/>
        <v>279821.22321402899</v>
      </c>
      <c r="U144" s="63"/>
      <c r="V144" s="387">
        <f t="shared" ref="V144:AB144" si="21">SUM(V116:V143)</f>
        <v>5</v>
      </c>
      <c r="W144" s="394">
        <f t="shared" si="21"/>
        <v>15</v>
      </c>
      <c r="X144" s="392">
        <f t="shared" si="21"/>
        <v>20</v>
      </c>
      <c r="Y144" s="64"/>
      <c r="Z144" s="387">
        <f t="shared" si="21"/>
        <v>1115.5942029442549</v>
      </c>
      <c r="AA144" s="393">
        <f t="shared" si="21"/>
        <v>3195.4057970557451</v>
      </c>
      <c r="AB144" s="389">
        <f t="shared" si="21"/>
        <v>4311</v>
      </c>
      <c r="AC144" s="63"/>
      <c r="AD144" s="369" t="s">
        <v>47</v>
      </c>
      <c r="AE144" s="392">
        <f>SUM(AE116:AE143)</f>
        <v>4137</v>
      </c>
      <c r="AF144" s="392">
        <f>SUM(AF116:AF143)</f>
        <v>174</v>
      </c>
      <c r="AG144" s="384">
        <f>SUM(AG116:AG143)</f>
        <v>4311</v>
      </c>
      <c r="AH144" s="63"/>
      <c r="AI144" s="63"/>
      <c r="AJ144" s="63"/>
      <c r="AK144" s="63"/>
      <c r="AL144" s="63"/>
      <c r="AM144" s="63"/>
      <c r="AN144" s="63"/>
      <c r="AO144" s="63"/>
      <c r="AP144" s="63"/>
      <c r="AQ144" s="63"/>
      <c r="AR144" s="63"/>
    </row>
    <row r="145" spans="1:44" ht="14.1" customHeight="1">
      <c r="A145" s="364"/>
      <c r="B145" s="365"/>
      <c r="C145" s="365"/>
      <c r="D145" s="365"/>
      <c r="E145" s="365"/>
      <c r="F145" s="365"/>
      <c r="G145" s="365"/>
      <c r="H145" s="365"/>
      <c r="I145" s="365"/>
      <c r="J145" s="365"/>
      <c r="K145" s="365"/>
      <c r="L145" s="365"/>
      <c r="M145" s="365"/>
      <c r="N145" s="365"/>
      <c r="O145" s="365"/>
      <c r="P145" s="365"/>
      <c r="Q145" s="365"/>
      <c r="R145" s="365"/>
      <c r="S145" s="365"/>
      <c r="T145" s="365"/>
      <c r="U145" s="63"/>
      <c r="V145" s="366"/>
      <c r="W145" s="366"/>
      <c r="X145" s="366"/>
      <c r="Y145" s="366"/>
      <c r="Z145" s="366"/>
      <c r="AA145" s="366"/>
      <c r="AB145" s="366"/>
      <c r="AC145" s="63"/>
      <c r="AD145" s="364"/>
      <c r="AE145" s="65"/>
      <c r="AF145" s="65"/>
      <c r="AG145" s="65"/>
      <c r="AH145" s="63"/>
      <c r="AI145" s="63"/>
      <c r="AJ145" s="63"/>
      <c r="AK145" s="63"/>
      <c r="AL145" s="63"/>
      <c r="AM145" s="63"/>
      <c r="AN145" s="63"/>
      <c r="AO145" s="63"/>
      <c r="AP145" s="63"/>
      <c r="AQ145" s="63"/>
      <c r="AR145" s="63"/>
    </row>
    <row r="146" spans="1:44">
      <c r="A146" s="11" t="s">
        <v>672</v>
      </c>
      <c r="V146" s="47"/>
      <c r="W146" s="47"/>
      <c r="X146" s="47"/>
      <c r="Y146" s="47"/>
      <c r="Z146" s="47"/>
      <c r="AA146" s="47"/>
      <c r="AB146" s="47"/>
    </row>
    <row r="147" spans="1:44">
      <c r="A147" s="11" t="s">
        <v>754</v>
      </c>
      <c r="V147" s="47"/>
      <c r="W147" s="47"/>
      <c r="X147" s="47"/>
      <c r="Y147" s="47"/>
      <c r="Z147" s="54"/>
      <c r="AA147" s="47"/>
      <c r="AB147" s="47"/>
    </row>
    <row r="148" spans="1:44">
      <c r="A148" s="786" t="s">
        <v>87</v>
      </c>
      <c r="B148" s="786"/>
      <c r="C148" s="786"/>
      <c r="D148" s="786"/>
      <c r="E148" s="22"/>
    </row>
    <row r="149" spans="1:44">
      <c r="A149" s="786" t="s">
        <v>88</v>
      </c>
      <c r="B149" s="786"/>
      <c r="C149" s="786"/>
      <c r="D149" s="786"/>
    </row>
    <row r="150" spans="1:44">
      <c r="A150" s="11" t="s">
        <v>89</v>
      </c>
    </row>
    <row r="152" spans="1:44" ht="54.6" customHeight="1" thickBot="1">
      <c r="A152" s="1070" t="s">
        <v>696</v>
      </c>
      <c r="B152" s="993"/>
      <c r="C152" s="1069"/>
      <c r="D152" s="1069"/>
    </row>
    <row r="153" spans="1:44" ht="21.75" thickBot="1">
      <c r="A153" s="56"/>
      <c r="B153" s="1160" t="s">
        <v>788</v>
      </c>
    </row>
    <row r="154" spans="1:44" ht="21.75" thickBot="1">
      <c r="A154" s="56">
        <v>1</v>
      </c>
      <c r="B154" s="46">
        <v>2</v>
      </c>
    </row>
    <row r="155" spans="1:44" ht="57" customHeight="1" thickBot="1">
      <c r="A155" s="32" t="s">
        <v>147</v>
      </c>
      <c r="B155" s="1065" t="s">
        <v>757</v>
      </c>
    </row>
    <row r="156" spans="1:44" ht="63.75" thickBot="1">
      <c r="A156" s="280" t="s">
        <v>17</v>
      </c>
      <c r="B156" s="17" t="s">
        <v>147</v>
      </c>
    </row>
    <row r="157" spans="1:44">
      <c r="A157" s="397" t="str">
        <f t="shared" ref="A157:A184" si="22">A7</f>
        <v>Eastern Florida State College</v>
      </c>
      <c r="B157" s="1066">
        <v>1069587</v>
      </c>
    </row>
    <row r="158" spans="1:44">
      <c r="A158" s="377" t="str">
        <f t="shared" si="22"/>
        <v>Broward College</v>
      </c>
      <c r="B158" s="1067">
        <v>1702837</v>
      </c>
    </row>
    <row r="159" spans="1:44">
      <c r="A159" s="377" t="str">
        <f t="shared" si="22"/>
        <v>College of Central Florida</v>
      </c>
      <c r="B159" s="1067">
        <v>641483</v>
      </c>
    </row>
    <row r="160" spans="1:44">
      <c r="A160" s="377" t="str">
        <f t="shared" si="22"/>
        <v>Chipola College</v>
      </c>
      <c r="B160" s="1067">
        <v>222020</v>
      </c>
    </row>
    <row r="161" spans="1:2">
      <c r="A161" s="377" t="str">
        <f t="shared" si="22"/>
        <v>Daytona State College</v>
      </c>
      <c r="B161" s="1067">
        <v>765955</v>
      </c>
    </row>
    <row r="162" spans="1:2">
      <c r="A162" s="377" t="str">
        <f t="shared" si="22"/>
        <v>Florida SouthWestern State College</v>
      </c>
      <c r="B162" s="1067">
        <v>876744</v>
      </c>
    </row>
    <row r="163" spans="1:2">
      <c r="A163" s="377" t="str">
        <f t="shared" si="22"/>
        <v>Florida State College at Jacksonville</v>
      </c>
      <c r="B163" s="1067">
        <v>1028072</v>
      </c>
    </row>
    <row r="164" spans="1:2">
      <c r="A164" s="377" t="str">
        <f t="shared" si="22"/>
        <v>College of the Florida Keys</v>
      </c>
      <c r="B164" s="1067">
        <v>56638</v>
      </c>
    </row>
    <row r="165" spans="1:2">
      <c r="A165" s="377" t="str">
        <f t="shared" si="22"/>
        <v>Gulf Coast State College</v>
      </c>
      <c r="B165" s="1067">
        <v>322941</v>
      </c>
    </row>
    <row r="166" spans="1:2">
      <c r="A166" s="377" t="str">
        <f t="shared" si="22"/>
        <v>Hillsborough College</v>
      </c>
      <c r="B166" s="1067">
        <v>1508154</v>
      </c>
    </row>
    <row r="167" spans="1:2">
      <c r="A167" s="377" t="str">
        <f t="shared" si="22"/>
        <v>Indian River State College</v>
      </c>
      <c r="B167" s="1067">
        <v>1170072</v>
      </c>
    </row>
    <row r="168" spans="1:2">
      <c r="A168" s="377" t="str">
        <f t="shared" si="22"/>
        <v>Florida Gateway College</v>
      </c>
      <c r="B168" s="1067">
        <v>265298</v>
      </c>
    </row>
    <row r="169" spans="1:2">
      <c r="A169" s="377" t="str">
        <f t="shared" si="22"/>
        <v>Lake-Sumter State College</v>
      </c>
      <c r="B169" s="1067">
        <v>397483</v>
      </c>
    </row>
    <row r="170" spans="1:2">
      <c r="A170" s="377" t="str">
        <f t="shared" si="22"/>
        <v>State College of Florida, Manatee-Sarasota</v>
      </c>
      <c r="B170" s="1067">
        <v>513163</v>
      </c>
    </row>
    <row r="171" spans="1:2">
      <c r="A171" s="377" t="str">
        <f t="shared" si="22"/>
        <v>Miami Dade College</v>
      </c>
      <c r="B171" s="1067">
        <v>4987167</v>
      </c>
    </row>
    <row r="172" spans="1:2">
      <c r="A172" s="377" t="str">
        <f t="shared" si="22"/>
        <v>North Florida College</v>
      </c>
      <c r="B172" s="1067">
        <v>113298</v>
      </c>
    </row>
    <row r="173" spans="1:2">
      <c r="A173" s="377" t="str">
        <f t="shared" si="22"/>
        <v>Northwest Florida State College</v>
      </c>
      <c r="B173" s="1067">
        <v>287572</v>
      </c>
    </row>
    <row r="174" spans="1:2">
      <c r="A174" s="377" t="str">
        <f t="shared" si="22"/>
        <v>Palm Beach State College</v>
      </c>
      <c r="B174" s="1067">
        <v>1386337</v>
      </c>
    </row>
    <row r="175" spans="1:2">
      <c r="A175" s="377" t="str">
        <f t="shared" si="22"/>
        <v>Pasco-Hernando State College</v>
      </c>
      <c r="B175" s="1067">
        <v>815934</v>
      </c>
    </row>
    <row r="176" spans="1:2">
      <c r="A176" s="377" t="str">
        <f t="shared" si="22"/>
        <v>Pensacola State College</v>
      </c>
      <c r="B176" s="1067">
        <v>469053</v>
      </c>
    </row>
    <row r="177" spans="1:2">
      <c r="A177" s="377" t="str">
        <f t="shared" si="22"/>
        <v>Polk State College</v>
      </c>
      <c r="B177" s="1067">
        <v>350043</v>
      </c>
    </row>
    <row r="178" spans="1:2">
      <c r="A178" s="377" t="str">
        <f t="shared" si="22"/>
        <v>St. Johns River State College</v>
      </c>
      <c r="B178" s="1067">
        <v>348815</v>
      </c>
    </row>
    <row r="179" spans="1:2">
      <c r="A179" s="377" t="str">
        <f t="shared" si="22"/>
        <v>St. Petersburg College</v>
      </c>
      <c r="B179" s="1067">
        <v>1479966</v>
      </c>
    </row>
    <row r="180" spans="1:2">
      <c r="A180" s="377" t="str">
        <f t="shared" si="22"/>
        <v>Santa Fe College</v>
      </c>
      <c r="B180" s="1067">
        <v>1264711</v>
      </c>
    </row>
    <row r="181" spans="1:2">
      <c r="A181" s="377" t="str">
        <f t="shared" si="22"/>
        <v>Seminole State College of Florida</v>
      </c>
      <c r="B181" s="1067">
        <v>1540385</v>
      </c>
    </row>
    <row r="182" spans="1:2">
      <c r="A182" s="377" t="str">
        <f t="shared" si="22"/>
        <v>South Florida State College</v>
      </c>
      <c r="B182" s="1067">
        <v>213852</v>
      </c>
    </row>
    <row r="183" spans="1:2">
      <c r="A183" s="377" t="str">
        <f t="shared" si="22"/>
        <v>Tallahassee State College</v>
      </c>
      <c r="B183" s="1067">
        <v>1436493</v>
      </c>
    </row>
    <row r="184" spans="1:2" ht="21.75" thickBot="1">
      <c r="A184" s="378" t="str">
        <f t="shared" si="22"/>
        <v>Valencia College</v>
      </c>
      <c r="B184" s="1068">
        <v>4765927</v>
      </c>
    </row>
    <row r="185" spans="1:2" ht="24" thickBot="1">
      <c r="A185" s="379" t="s">
        <v>47</v>
      </c>
      <c r="B185" s="417">
        <f>SUM(B157:B184)</f>
        <v>30000000</v>
      </c>
    </row>
    <row r="187" spans="1:2" ht="36.75" thickBot="1">
      <c r="A187" s="1070" t="s">
        <v>696</v>
      </c>
      <c r="B187" s="993"/>
    </row>
    <row r="188" spans="1:2" ht="21.75" thickBot="1">
      <c r="A188" s="56"/>
      <c r="B188" s="57" t="s">
        <v>788</v>
      </c>
    </row>
    <row r="189" spans="1:2" ht="21.75" thickBot="1">
      <c r="A189" s="56">
        <v>1</v>
      </c>
      <c r="B189" s="46">
        <v>2</v>
      </c>
    </row>
    <row r="190" spans="1:2" ht="54" thickBot="1">
      <c r="A190" s="1071" t="s">
        <v>678</v>
      </c>
      <c r="B190" s="1065" t="s">
        <v>757</v>
      </c>
    </row>
    <row r="191" spans="1:2" ht="42.75" thickBot="1">
      <c r="A191" s="280" t="s">
        <v>17</v>
      </c>
      <c r="B191" s="17" t="s">
        <v>678</v>
      </c>
    </row>
    <row r="192" spans="1:2">
      <c r="A192" s="397" t="str">
        <f t="shared" ref="A192:A219" si="23">A7</f>
        <v>Eastern Florida State College</v>
      </c>
      <c r="B192" s="1072">
        <v>1163744</v>
      </c>
    </row>
    <row r="193" spans="1:2">
      <c r="A193" s="377" t="str">
        <f t="shared" si="23"/>
        <v>Broward College</v>
      </c>
      <c r="B193" s="1067">
        <v>1367137</v>
      </c>
    </row>
    <row r="194" spans="1:2">
      <c r="A194" s="377" t="str">
        <f t="shared" si="23"/>
        <v>College of Central Florida</v>
      </c>
      <c r="B194" s="1067">
        <v>1001213</v>
      </c>
    </row>
    <row r="195" spans="1:2">
      <c r="A195" s="377" t="str">
        <f t="shared" si="23"/>
        <v>Chipola College</v>
      </c>
      <c r="B195" s="1067">
        <v>654808</v>
      </c>
    </row>
    <row r="196" spans="1:2">
      <c r="A196" s="377" t="str">
        <f t="shared" si="23"/>
        <v>Daytona State College</v>
      </c>
      <c r="B196" s="1067">
        <v>1772572</v>
      </c>
    </row>
    <row r="197" spans="1:2">
      <c r="A197" s="377" t="str">
        <f t="shared" si="23"/>
        <v>Florida SouthWestern State College</v>
      </c>
      <c r="B197" s="1067">
        <v>1494713</v>
      </c>
    </row>
    <row r="198" spans="1:2">
      <c r="A198" s="377" t="str">
        <f t="shared" si="23"/>
        <v>Florida State College at Jacksonville</v>
      </c>
      <c r="B198" s="1067">
        <v>2212839</v>
      </c>
    </row>
    <row r="199" spans="1:2">
      <c r="A199" s="377" t="str">
        <f t="shared" si="23"/>
        <v>College of the Florida Keys</v>
      </c>
      <c r="B199" s="1067">
        <v>662553</v>
      </c>
    </row>
    <row r="200" spans="1:2">
      <c r="A200" s="377" t="str">
        <f t="shared" si="23"/>
        <v>Gulf Coast State College</v>
      </c>
      <c r="B200" s="1067">
        <v>1575608</v>
      </c>
    </row>
    <row r="201" spans="1:2">
      <c r="A201" s="377" t="str">
        <f t="shared" si="23"/>
        <v>Hillsborough College</v>
      </c>
      <c r="B201" s="1067">
        <v>1186213</v>
      </c>
    </row>
    <row r="202" spans="1:2">
      <c r="A202" s="377" t="str">
        <f t="shared" si="23"/>
        <v>Indian River State College</v>
      </c>
      <c r="B202" s="1067">
        <v>2275902</v>
      </c>
    </row>
    <row r="203" spans="1:2">
      <c r="A203" s="377" t="str">
        <f t="shared" si="23"/>
        <v>Florida Gateway College</v>
      </c>
      <c r="B203" s="1067">
        <v>1643510</v>
      </c>
    </row>
    <row r="204" spans="1:2">
      <c r="A204" s="377" t="str">
        <f t="shared" si="23"/>
        <v>Lake-Sumter State College</v>
      </c>
      <c r="B204" s="1067">
        <v>1092283</v>
      </c>
    </row>
    <row r="205" spans="1:2">
      <c r="A205" s="377" t="str">
        <f t="shared" si="23"/>
        <v>State College of Florida, Manatee-Sarasota</v>
      </c>
      <c r="B205" s="1067">
        <v>1530501</v>
      </c>
    </row>
    <row r="206" spans="1:2">
      <c r="A206" s="377" t="str">
        <f t="shared" si="23"/>
        <v>Miami Dade College</v>
      </c>
      <c r="B206" s="1067">
        <v>2808311</v>
      </c>
    </row>
    <row r="207" spans="1:2">
      <c r="A207" s="377" t="str">
        <f t="shared" si="23"/>
        <v>North Florida College</v>
      </c>
      <c r="B207" s="1067">
        <v>473845</v>
      </c>
    </row>
    <row r="208" spans="1:2">
      <c r="A208" s="377" t="str">
        <f t="shared" si="23"/>
        <v>Northwest Florida State College</v>
      </c>
      <c r="B208" s="1067">
        <v>942559</v>
      </c>
    </row>
    <row r="209" spans="1:2">
      <c r="A209" s="377" t="str">
        <f t="shared" si="23"/>
        <v>Palm Beach State College</v>
      </c>
      <c r="B209" s="1067">
        <v>2131701</v>
      </c>
    </row>
    <row r="210" spans="1:2">
      <c r="A210" s="377" t="str">
        <f t="shared" si="23"/>
        <v>Pasco-Hernando State College</v>
      </c>
      <c r="B210" s="1067">
        <v>1547834</v>
      </c>
    </row>
    <row r="211" spans="1:2">
      <c r="A211" s="377" t="str">
        <f t="shared" si="23"/>
        <v>Pensacola State College</v>
      </c>
      <c r="B211" s="1067">
        <v>1393554</v>
      </c>
    </row>
    <row r="212" spans="1:2">
      <c r="A212" s="377" t="str">
        <f t="shared" si="23"/>
        <v>Polk State College</v>
      </c>
      <c r="B212" s="1067">
        <v>1168387</v>
      </c>
    </row>
    <row r="213" spans="1:2">
      <c r="A213" s="377" t="str">
        <f t="shared" si="23"/>
        <v>St. Johns River State College</v>
      </c>
      <c r="B213" s="1067">
        <v>1585072</v>
      </c>
    </row>
    <row r="214" spans="1:2">
      <c r="A214" s="377" t="str">
        <f t="shared" si="23"/>
        <v>St. Petersburg College</v>
      </c>
      <c r="B214" s="1067">
        <v>1845523</v>
      </c>
    </row>
    <row r="215" spans="1:2">
      <c r="A215" s="377" t="str">
        <f t="shared" si="23"/>
        <v>Santa Fe College</v>
      </c>
      <c r="B215" s="1067">
        <v>1427135</v>
      </c>
    </row>
    <row r="216" spans="1:2">
      <c r="A216" s="377" t="str">
        <f t="shared" si="23"/>
        <v>Seminole State College of Florida</v>
      </c>
      <c r="B216" s="1067">
        <v>1434814</v>
      </c>
    </row>
    <row r="217" spans="1:2">
      <c r="A217" s="377" t="str">
        <f t="shared" si="23"/>
        <v>South Florida State College</v>
      </c>
      <c r="B217" s="1067">
        <v>1330680</v>
      </c>
    </row>
    <row r="218" spans="1:2">
      <c r="A218" s="377" t="str">
        <f t="shared" si="23"/>
        <v>Tallahassee State College</v>
      </c>
      <c r="B218" s="1067">
        <v>669075</v>
      </c>
    </row>
    <row r="219" spans="1:2" ht="21.75" thickBot="1">
      <c r="A219" s="378" t="str">
        <f t="shared" si="23"/>
        <v>Valencia College</v>
      </c>
      <c r="B219" s="1068">
        <v>1607914</v>
      </c>
    </row>
    <row r="220" spans="1:2" ht="24" thickBot="1">
      <c r="A220" s="379" t="s">
        <v>47</v>
      </c>
      <c r="B220" s="417">
        <f>SUM(B192:B219)</f>
        <v>40000000</v>
      </c>
    </row>
  </sheetData>
  <sheetProtection algorithmName="SHA-512" hashValue="RZnXa7pHtp6vBkoraeBjFfNZt7YfJ0dkIL+trHrkptKu7hI6zIGfAA2Ur6jeKquZNB9gn8O6U/FwR10p9xkemQ==" saltValue="8SyDrll+Ar4Dp8Ge9N1D2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colorId="22" zoomScale="70" zoomScaleNormal="70" zoomScaleSheetLayoutView="51" zoomScalePageLayoutView="60" workbookViewId="0"/>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8" t="s">
        <v>11</v>
      </c>
      <c r="B1" s="868"/>
      <c r="C1" s="868"/>
      <c r="D1" s="868"/>
      <c r="E1" s="868"/>
      <c r="F1" s="868"/>
      <c r="G1" s="868"/>
      <c r="H1" s="22"/>
      <c r="I1" s="22"/>
    </row>
    <row r="2" spans="1:9" ht="20.100000000000001" customHeight="1">
      <c r="A2" s="868" t="s">
        <v>723</v>
      </c>
      <c r="B2" s="868"/>
      <c r="C2" s="868"/>
      <c r="D2" s="868"/>
      <c r="E2" s="868"/>
      <c r="F2" s="868"/>
      <c r="G2" s="868"/>
    </row>
    <row r="3" spans="1:9" ht="20.100000000000001" customHeight="1">
      <c r="A3" s="868"/>
      <c r="B3" s="868"/>
      <c r="C3" s="868"/>
      <c r="D3" s="868"/>
      <c r="E3" s="868"/>
      <c r="F3" s="868"/>
      <c r="G3" s="868"/>
      <c r="H3" s="82"/>
    </row>
    <row r="4" spans="1:9" ht="28.35" customHeight="1">
      <c r="A4" s="1085" t="s">
        <v>691</v>
      </c>
      <c r="B4" s="1085"/>
      <c r="C4" s="1085"/>
      <c r="D4" s="1085"/>
      <c r="E4" s="1085"/>
      <c r="F4" s="1085"/>
      <c r="G4" s="1085"/>
      <c r="H4" s="80"/>
      <c r="I4" s="80"/>
    </row>
    <row r="5" spans="1:9" ht="20.100000000000001" customHeight="1">
      <c r="D5" s="83"/>
      <c r="E5" s="83"/>
      <c r="F5" s="83"/>
      <c r="G5" s="84"/>
      <c r="H5" s="82"/>
    </row>
    <row r="6" spans="1:9" ht="20.100000000000001" customHeight="1">
      <c r="G6" s="82"/>
    </row>
    <row r="7" spans="1:9" ht="23.1" customHeight="1" thickBot="1">
      <c r="A7" s="85" t="s">
        <v>90</v>
      </c>
      <c r="C7" s="81" t="s">
        <v>91</v>
      </c>
      <c r="D7" s="789" t="s">
        <v>32</v>
      </c>
      <c r="E7" s="905"/>
      <c r="F7" s="905"/>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92</v>
      </c>
      <c r="B10" s="85"/>
      <c r="C10" s="869" t="s">
        <v>724</v>
      </c>
      <c r="D10" s="869"/>
      <c r="E10" s="869"/>
      <c r="F10" s="869"/>
      <c r="G10" s="869"/>
      <c r="H10" s="87"/>
      <c r="I10" s="511"/>
    </row>
    <row r="11" spans="1:9" ht="20.45" customHeight="1">
      <c r="A11" s="85"/>
      <c r="B11" s="85"/>
      <c r="C11" s="420"/>
      <c r="D11" s="420"/>
      <c r="E11" s="420"/>
      <c r="F11" s="82"/>
      <c r="G11" s="82"/>
      <c r="H11" s="87"/>
    </row>
    <row r="12" spans="1:9" ht="20.100000000000001" customHeight="1">
      <c r="C12" s="16" t="s">
        <v>93</v>
      </c>
      <c r="D12" s="16"/>
      <c r="E12" s="16"/>
      <c r="F12" s="88"/>
      <c r="G12" s="88"/>
      <c r="H12" s="88"/>
    </row>
    <row r="13" spans="1:9" ht="20.100000000000001" customHeight="1">
      <c r="C13" s="86"/>
      <c r="H13" s="88"/>
    </row>
    <row r="14" spans="1:9" ht="20.100000000000001" customHeight="1">
      <c r="C14" s="86"/>
    </row>
    <row r="15" spans="1:9" ht="20.100000000000001" customHeight="1">
      <c r="A15" s="85" t="s">
        <v>94</v>
      </c>
      <c r="B15" s="85"/>
      <c r="C15" s="791" t="s">
        <v>95</v>
      </c>
      <c r="D15" s="791"/>
      <c r="E15" s="791"/>
    </row>
    <row r="16" spans="1:9" ht="20.100000000000001" customHeight="1">
      <c r="A16" s="791"/>
      <c r="B16" s="791"/>
      <c r="D16" s="82"/>
      <c r="E16" s="82"/>
      <c r="H16" s="82"/>
    </row>
    <row r="17" spans="1:8" ht="27" customHeight="1">
      <c r="C17" s="798">
        <f>IF(+'EXHIBIT A'!E44&gt;=0.0499,+'EXHIBIT A'!E44,"PERCENTAGE DOES NOT MEET STATUTORY GUIDELINES")</f>
        <v>6.6462164759024583E-2</v>
      </c>
      <c r="D17" s="798"/>
      <c r="E17" s="798"/>
      <c r="F17" s="798"/>
      <c r="G17" s="798"/>
      <c r="H17" s="82"/>
    </row>
    <row r="18" spans="1:8" ht="20.100000000000001" customHeight="1">
      <c r="A18" s="791"/>
      <c r="B18" s="791"/>
      <c r="C18" s="870" t="s">
        <v>96</v>
      </c>
      <c r="D18" s="870"/>
      <c r="E18" s="870"/>
      <c r="F18" s="870"/>
      <c r="G18" s="870"/>
      <c r="H18" s="82"/>
    </row>
    <row r="19" spans="1:8" ht="20.100000000000001" customHeight="1">
      <c r="A19" s="791"/>
      <c r="B19" s="791"/>
      <c r="C19" s="22"/>
      <c r="D19" s="22"/>
      <c r="E19" s="22"/>
      <c r="F19" s="82"/>
      <c r="G19" s="82"/>
      <c r="H19" s="82"/>
    </row>
    <row r="20" spans="1:8" ht="20.100000000000001" customHeight="1"/>
    <row r="21" spans="1:8" ht="20.100000000000001" customHeight="1">
      <c r="A21" s="85" t="s">
        <v>97</v>
      </c>
      <c r="B21" s="85"/>
      <c r="C21" s="791" t="s">
        <v>98</v>
      </c>
      <c r="D21" s="791"/>
      <c r="E21" s="791"/>
      <c r="F21" s="23"/>
      <c r="G21" s="23"/>
      <c r="H21" s="82"/>
    </row>
    <row r="22" spans="1:8" ht="20.100000000000001" customHeight="1">
      <c r="C22" s="23"/>
      <c r="D22" s="23"/>
      <c r="E22" s="23"/>
      <c r="F22" s="23"/>
      <c r="G22" s="23"/>
      <c r="H22" s="82"/>
    </row>
    <row r="23" spans="1:8" ht="20.100000000000001" customHeight="1">
      <c r="C23" s="82" t="s">
        <v>99</v>
      </c>
      <c r="H23" s="82"/>
    </row>
    <row r="24" spans="1:8" ht="20.100000000000001" customHeight="1">
      <c r="A24" s="89"/>
      <c r="B24" s="89"/>
      <c r="C24" s="82" t="s">
        <v>100</v>
      </c>
      <c r="D24" s="82"/>
      <c r="E24" s="82"/>
      <c r="F24" s="82"/>
      <c r="G24" s="82"/>
      <c r="H24" s="82"/>
    </row>
    <row r="25" spans="1:8" ht="20.100000000000001" customHeight="1">
      <c r="A25" s="85"/>
      <c r="B25" s="85"/>
      <c r="C25" s="82" t="s">
        <v>101</v>
      </c>
      <c r="D25" s="82"/>
      <c r="E25" s="90"/>
      <c r="F25" s="82"/>
      <c r="G25" s="82"/>
      <c r="H25" s="82"/>
    </row>
    <row r="26" spans="1:8" ht="20.100000000000001" customHeight="1">
      <c r="A26" s="85"/>
      <c r="B26" s="85"/>
      <c r="C26" s="82" t="s">
        <v>102</v>
      </c>
      <c r="D26" s="82"/>
      <c r="E26" s="90"/>
      <c r="F26" s="82"/>
      <c r="G26" s="82"/>
      <c r="H26" s="82"/>
    </row>
    <row r="27" spans="1:8" ht="20.100000000000001" customHeight="1">
      <c r="A27" s="85"/>
      <c r="B27" s="85"/>
      <c r="C27" s="82" t="s">
        <v>103</v>
      </c>
      <c r="D27" s="82"/>
      <c r="E27" s="82"/>
      <c r="F27" s="82"/>
      <c r="G27" s="82"/>
      <c r="H27" s="82"/>
    </row>
    <row r="28" spans="1:8" ht="20.100000000000001" customHeight="1">
      <c r="A28" s="91"/>
      <c r="B28" s="91"/>
      <c r="C28" s="82" t="s">
        <v>104</v>
      </c>
      <c r="H28" s="82"/>
    </row>
    <row r="29" spans="1:8" ht="20.100000000000001" customHeight="1">
      <c r="A29" s="91"/>
      <c r="B29" s="91"/>
      <c r="C29" s="11" t="s">
        <v>105</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106</v>
      </c>
      <c r="B32" s="91"/>
      <c r="C32" s="23" t="s">
        <v>107</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90"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108</v>
      </c>
      <c r="B37" s="85"/>
      <c r="C37" s="23" t="s">
        <v>109</v>
      </c>
      <c r="D37" s="82"/>
      <c r="E37" s="82"/>
      <c r="F37" s="94"/>
      <c r="G37" s="82"/>
      <c r="H37" s="82"/>
    </row>
    <row r="38" spans="1:8" ht="20.100000000000001" customHeight="1">
      <c r="C38" s="23" t="s">
        <v>110</v>
      </c>
      <c r="D38" s="82"/>
      <c r="E38" s="82"/>
      <c r="F38" s="95"/>
      <c r="G38" s="82"/>
      <c r="H38" s="82"/>
    </row>
    <row r="39" spans="1:8" ht="20.100000000000001" customHeight="1" thickBot="1">
      <c r="G39" s="82"/>
      <c r="H39" s="82"/>
    </row>
    <row r="40" spans="1:8" ht="20.100000000000001" customHeight="1">
      <c r="C40" s="96"/>
      <c r="D40" s="97" t="s">
        <v>725</v>
      </c>
      <c r="E40" s="97" t="str">
        <f>D40</f>
        <v>2026-27</v>
      </c>
      <c r="F40" s="98"/>
      <c r="G40" s="99"/>
      <c r="H40" s="82"/>
    </row>
    <row r="41" spans="1:8" ht="20.100000000000001" customHeight="1">
      <c r="C41" s="100"/>
      <c r="D41" s="101" t="s">
        <v>111</v>
      </c>
      <c r="E41" s="102" t="s">
        <v>112</v>
      </c>
      <c r="F41" s="102"/>
      <c r="G41" s="103" t="s">
        <v>113</v>
      </c>
      <c r="H41" s="82"/>
    </row>
    <row r="42" spans="1:8" ht="20.100000000000001" customHeight="1">
      <c r="C42" s="104"/>
      <c r="D42" s="101" t="s">
        <v>114</v>
      </c>
      <c r="E42" s="102" t="s">
        <v>115</v>
      </c>
      <c r="F42" s="102" t="s">
        <v>116</v>
      </c>
      <c r="G42" s="103" t="s">
        <v>117</v>
      </c>
      <c r="H42" s="82"/>
    </row>
    <row r="43" spans="1:8" ht="20.100000000000001" customHeight="1" thickBot="1">
      <c r="C43" s="100" t="s">
        <v>118</v>
      </c>
      <c r="D43" s="101" t="s">
        <v>119</v>
      </c>
      <c r="E43" s="102" t="s">
        <v>120</v>
      </c>
      <c r="F43" s="102" t="s">
        <v>113</v>
      </c>
      <c r="G43" s="105" t="s">
        <v>121</v>
      </c>
      <c r="H43" s="82"/>
    </row>
    <row r="44" spans="1:8" ht="20.100000000000001" customHeight="1">
      <c r="C44" s="106" t="s">
        <v>122</v>
      </c>
      <c r="D44" s="107">
        <f>VLOOKUP($D$7,VLOOKUP!$A$116:$S$144,2)*30+D59</f>
        <v>16200</v>
      </c>
      <c r="E44" s="108">
        <f>+'EXHIBIT C'!F10</f>
        <v>18549</v>
      </c>
      <c r="F44" s="109">
        <f t="shared" ref="F44:F50" si="0">IF(D44=0,"0",(E44/D44-1))</f>
        <v>0.14500000000000002</v>
      </c>
      <c r="G44" s="110" t="str">
        <f t="shared" ref="G44:G50" si="1">IF(OR(F44&gt;3%, F44&lt;-3%),"YES","NO")</f>
        <v>YES</v>
      </c>
      <c r="H44" s="82"/>
    </row>
    <row r="45" spans="1:8" ht="20.100000000000001" customHeight="1">
      <c r="C45" s="111" t="s">
        <v>123</v>
      </c>
      <c r="D45" s="620">
        <f>VLOOKUP($D$7,VLOOKUP!$A$116:$S$144,5)*30+D60</f>
        <v>142405.61841932804</v>
      </c>
      <c r="E45" s="112">
        <f>+'EXHIBIT C'!F11</f>
        <v>115001</v>
      </c>
      <c r="F45" s="621">
        <f t="shared" si="0"/>
        <v>-0.19244057027744721</v>
      </c>
      <c r="G45" s="622" t="str">
        <f t="shared" si="1"/>
        <v>YES</v>
      </c>
      <c r="H45" s="82"/>
    </row>
    <row r="46" spans="1:8" ht="20.100000000000001" customHeight="1">
      <c r="C46" s="623" t="s">
        <v>124</v>
      </c>
      <c r="D46" s="624">
        <f>VLOOKUP($D$7,VLOOKUP!$A$116:$S$144,8)*30</f>
        <v>17877.056120774534</v>
      </c>
      <c r="E46" s="625">
        <f>+'EXHIBIT C'!F12</f>
        <v>52629</v>
      </c>
      <c r="F46" s="621">
        <f t="shared" si="0"/>
        <v>1.9439410854028139</v>
      </c>
      <c r="G46" s="622" t="str">
        <f t="shared" si="1"/>
        <v>YES</v>
      </c>
      <c r="H46" s="82"/>
    </row>
    <row r="47" spans="1:8" ht="20.100000000000001" customHeight="1">
      <c r="C47" s="623" t="s">
        <v>74</v>
      </c>
      <c r="D47" s="624">
        <f>VLOOKUP($D$7,VLOOKUP!$A$116:$S$144,17)*30</f>
        <v>0</v>
      </c>
      <c r="E47" s="625">
        <f>+'EXHIBIT C'!F13</f>
        <v>0</v>
      </c>
      <c r="F47" s="621" t="str">
        <f t="shared" si="0"/>
        <v>0</v>
      </c>
      <c r="G47" s="622" t="str">
        <f t="shared" si="1"/>
        <v>NO</v>
      </c>
      <c r="H47" s="82"/>
    </row>
    <row r="48" spans="1:8" ht="20.100000000000001" customHeight="1">
      <c r="C48" s="623" t="s">
        <v>125</v>
      </c>
      <c r="D48" s="624">
        <f>VLOOKUP($D$7,VLOOKUP!$A$116:$S$144,11)*30</f>
        <v>3911.3616212792904</v>
      </c>
      <c r="E48" s="625">
        <f>+'EXHIBIT C'!F14</f>
        <v>4986</v>
      </c>
      <c r="F48" s="621">
        <f t="shared" si="0"/>
        <v>0.27474789671051369</v>
      </c>
      <c r="G48" s="622" t="str">
        <f t="shared" si="1"/>
        <v>YES</v>
      </c>
      <c r="H48" s="82"/>
    </row>
    <row r="49" spans="3:8" ht="20.100000000000001" customHeight="1" thickBot="1">
      <c r="C49" s="626" t="s">
        <v>126</v>
      </c>
      <c r="D49" s="627">
        <f>VLOOKUP($D$7,VLOOKUP!$A$116:$S$144,14)*30</f>
        <v>150</v>
      </c>
      <c r="E49" s="628">
        <f>+'EXHIBIT C'!F15</f>
        <v>208</v>
      </c>
      <c r="F49" s="629">
        <f t="shared" si="0"/>
        <v>0.38666666666666671</v>
      </c>
      <c r="G49" s="630" t="str">
        <f t="shared" si="1"/>
        <v>YES</v>
      </c>
      <c r="H49" s="82"/>
    </row>
    <row r="50" spans="3:8" ht="20.100000000000001" customHeight="1" thickBot="1">
      <c r="C50" s="113" t="s">
        <v>47</v>
      </c>
      <c r="D50" s="114">
        <f>SUM(D44:D49)</f>
        <v>180544.03616138187</v>
      </c>
      <c r="E50" s="115">
        <f>+'EXHIBIT C'!F17</f>
        <v>191373</v>
      </c>
      <c r="F50" s="116">
        <f t="shared" si="0"/>
        <v>5.9979626405042286E-2</v>
      </c>
      <c r="G50" s="117" t="str">
        <f t="shared" si="1"/>
        <v>YES</v>
      </c>
      <c r="H50" s="82"/>
    </row>
    <row r="51" spans="3:8" ht="46.5" customHeight="1" thickBot="1">
      <c r="C51" s="871" t="s">
        <v>127</v>
      </c>
      <c r="D51" s="872"/>
      <c r="E51" s="872"/>
      <c r="F51" s="872"/>
      <c r="G51" s="873"/>
      <c r="H51" s="82"/>
    </row>
    <row r="52" spans="3:8" ht="24.6" customHeight="1" thickBot="1">
      <c r="C52" s="795" t="s">
        <v>692</v>
      </c>
      <c r="D52" s="796"/>
      <c r="E52" s="796"/>
      <c r="F52" s="796"/>
      <c r="G52" s="797"/>
      <c r="H52" s="118"/>
    </row>
    <row r="53" spans="3:8" ht="205.5" customHeight="1" thickBot="1">
      <c r="C53" s="1045" t="s">
        <v>790</v>
      </c>
      <c r="D53" s="1046"/>
      <c r="E53" s="1046"/>
      <c r="F53" s="1046"/>
      <c r="G53" s="1047"/>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128</v>
      </c>
      <c r="E56" s="102" t="s">
        <v>129</v>
      </c>
      <c r="F56" s="102"/>
      <c r="G56" s="105" t="s">
        <v>113</v>
      </c>
      <c r="H56" s="118"/>
    </row>
    <row r="57" spans="3:8" ht="20.100000000000001" customHeight="1">
      <c r="C57" s="104"/>
      <c r="D57" s="101" t="s">
        <v>114</v>
      </c>
      <c r="E57" s="102" t="s">
        <v>115</v>
      </c>
      <c r="F57" s="102" t="s">
        <v>116</v>
      </c>
      <c r="G57" s="105" t="s">
        <v>117</v>
      </c>
      <c r="H57" s="118"/>
    </row>
    <row r="58" spans="3:8" ht="20.100000000000001" customHeight="1" thickBot="1">
      <c r="C58" s="120" t="s">
        <v>130</v>
      </c>
      <c r="D58" s="121" t="s">
        <v>119</v>
      </c>
      <c r="E58" s="122" t="s">
        <v>120</v>
      </c>
      <c r="F58" s="122" t="s">
        <v>113</v>
      </c>
      <c r="G58" s="123" t="s">
        <v>131</v>
      </c>
      <c r="H58" s="118"/>
    </row>
    <row r="59" spans="3:8" ht="20.100000000000001" customHeight="1">
      <c r="C59" s="106" t="s">
        <v>122</v>
      </c>
      <c r="D59" s="631">
        <f>VLOOKUP($D$7,VLOOKUP!$A$116:$S$144,3)*30</f>
        <v>0</v>
      </c>
      <c r="E59" s="124">
        <f>+'EXHIBIT C'!D19</f>
        <v>205</v>
      </c>
      <c r="F59" s="632" t="str">
        <f t="shared" ref="F59:F65" si="2">IF(D59=0,"0",(E59/D59-1))</f>
        <v>0</v>
      </c>
      <c r="G59" s="633" t="str">
        <f>IF(OR(F59&gt;5%, F59&lt;-5%),"YES","NO")</f>
        <v>NO</v>
      </c>
    </row>
    <row r="60" spans="3:8" ht="20.100000000000001" customHeight="1">
      <c r="C60" s="111" t="s">
        <v>123</v>
      </c>
      <c r="D60" s="631">
        <f>VLOOKUP($D$7,VLOOKUP!$A$116:$S$144,6)*30</f>
        <v>7303.7397876709329</v>
      </c>
      <c r="E60" s="125">
        <f>+'EXHIBIT C'!D20</f>
        <v>4143</v>
      </c>
      <c r="F60" s="632">
        <f t="shared" si="2"/>
        <v>-0.4327563521644644</v>
      </c>
      <c r="G60" s="633" t="str">
        <f t="shared" ref="G60:G65" si="3">IF(OR(F60&gt;5%, F60&lt;-5%),"YES","NO")</f>
        <v>YES</v>
      </c>
      <c r="H60" s="82"/>
    </row>
    <row r="61" spans="3:8" ht="20.100000000000001" customHeight="1">
      <c r="C61" s="623" t="s">
        <v>124</v>
      </c>
      <c r="D61" s="634">
        <f>VLOOKUP($D$7,VLOOKUP!$A$116:$S$144,9)*30</f>
        <v>872.12668198227766</v>
      </c>
      <c r="E61" s="635">
        <f>+'EXHIBIT C'!D21</f>
        <v>2577</v>
      </c>
      <c r="F61" s="632">
        <f t="shared" si="2"/>
        <v>1.9548459567166034</v>
      </c>
      <c r="G61" s="633" t="str">
        <f t="shared" si="3"/>
        <v>YES</v>
      </c>
      <c r="H61" s="82"/>
    </row>
    <row r="62" spans="3:8" ht="20.100000000000001" customHeight="1">
      <c r="C62" s="623" t="s">
        <v>74</v>
      </c>
      <c r="D62" s="634">
        <f>VLOOKUP($D$7,VLOOKUP!$A$116:$S$144,18)*30</f>
        <v>0</v>
      </c>
      <c r="E62" s="635">
        <f>+'EXHIBIT C'!D22</f>
        <v>0</v>
      </c>
      <c r="F62" s="632" t="str">
        <f t="shared" si="2"/>
        <v>0</v>
      </c>
      <c r="G62" s="633" t="str">
        <f t="shared" si="3"/>
        <v>NO</v>
      </c>
      <c r="H62" s="82"/>
    </row>
    <row r="63" spans="3:8" ht="20.100000000000001" customHeight="1">
      <c r="C63" s="623" t="s">
        <v>125</v>
      </c>
      <c r="D63" s="634">
        <f>VLOOKUP($D$7,VLOOKUP!$A$116:$S$144,12)*30</f>
        <v>528.63837872070928</v>
      </c>
      <c r="E63" s="635">
        <f>+'EXHIBIT C'!D23</f>
        <v>389</v>
      </c>
      <c r="F63" s="632">
        <f t="shared" si="2"/>
        <v>-0.2641472589610887</v>
      </c>
      <c r="G63" s="633" t="str">
        <f t="shared" si="3"/>
        <v>YES</v>
      </c>
      <c r="H63" s="82"/>
    </row>
    <row r="64" spans="3:8" ht="20.100000000000001" customHeight="1" thickBot="1">
      <c r="C64" s="626" t="s">
        <v>126</v>
      </c>
      <c r="D64" s="636">
        <f>VLOOKUP($D$7,VLOOKUP!$A$116:$S$144,15)*30</f>
        <v>0</v>
      </c>
      <c r="E64" s="637">
        <f>+'EXHIBIT C'!D24</f>
        <v>0</v>
      </c>
      <c r="F64" s="638" t="str">
        <f t="shared" si="2"/>
        <v>0</v>
      </c>
      <c r="G64" s="639" t="str">
        <f t="shared" si="3"/>
        <v>NO</v>
      </c>
      <c r="H64" s="82"/>
    </row>
    <row r="65" spans="1:8" ht="20.100000000000001" customHeight="1" thickBot="1">
      <c r="C65" s="113" t="s">
        <v>47</v>
      </c>
      <c r="D65" s="126">
        <f>SUM(D59:D64)</f>
        <v>8704.5048483739192</v>
      </c>
      <c r="E65" s="127">
        <f>SUM(E59:E64)</f>
        <v>7314</v>
      </c>
      <c r="F65" s="128">
        <f t="shared" si="2"/>
        <v>-0.15974542752235676</v>
      </c>
      <c r="G65" s="129" t="str">
        <f t="shared" si="3"/>
        <v>YES</v>
      </c>
      <c r="H65" s="82"/>
    </row>
    <row r="66" spans="1:8" ht="42" customHeight="1" thickBot="1">
      <c r="C66" s="871" t="s">
        <v>132</v>
      </c>
      <c r="D66" s="872"/>
      <c r="E66" s="872"/>
      <c r="F66" s="872"/>
      <c r="G66" s="873"/>
      <c r="H66" s="82"/>
    </row>
    <row r="67" spans="1:8" ht="24.6" customHeight="1" thickBot="1">
      <c r="A67" s="92"/>
      <c r="B67" s="92"/>
      <c r="C67" s="792" t="s">
        <v>692</v>
      </c>
      <c r="D67" s="793"/>
      <c r="E67" s="793"/>
      <c r="F67" s="793"/>
      <c r="G67" s="794"/>
      <c r="H67" s="82"/>
    </row>
    <row r="68" spans="1:8" ht="227.25" customHeight="1" thickBot="1">
      <c r="A68" s="92"/>
      <c r="B68" s="92"/>
      <c r="C68" s="1048" t="s">
        <v>790</v>
      </c>
      <c r="D68" s="1049"/>
      <c r="E68" s="1049"/>
      <c r="F68" s="1049"/>
      <c r="G68" s="1050"/>
      <c r="H68" s="82"/>
    </row>
    <row r="69" spans="1:8" ht="20.100000000000001" customHeight="1">
      <c r="C69" s="11" t="s">
        <v>10</v>
      </c>
      <c r="H69" s="82"/>
    </row>
    <row r="70" spans="1:8" ht="20.100000000000001" customHeight="1">
      <c r="H70" s="82"/>
    </row>
    <row r="71" spans="1:8" ht="20.100000000000001" customHeight="1">
      <c r="A71" s="91" t="s">
        <v>133</v>
      </c>
      <c r="B71" s="91"/>
      <c r="C71" s="23" t="s">
        <v>134</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135</v>
      </c>
      <c r="D73" s="82"/>
      <c r="E73" s="82"/>
      <c r="F73" s="82"/>
      <c r="G73" s="82"/>
      <c r="H73" s="82"/>
    </row>
    <row r="74" spans="1:8" ht="20.100000000000001" customHeight="1">
      <c r="A74" s="92"/>
      <c r="B74" s="92"/>
      <c r="C74" s="643" t="str">
        <f>IF(+'EXHIBIT A'!E19='EXHIBIT C'!B70,"Equal","Not Equal")</f>
        <v>Equal</v>
      </c>
      <c r="D74" s="82" t="s">
        <v>136</v>
      </c>
      <c r="E74" s="82"/>
      <c r="F74" s="82"/>
      <c r="G74" s="82"/>
      <c r="H74" s="82"/>
    </row>
    <row r="75" spans="1:8" ht="20.100000000000001" customHeight="1">
      <c r="A75" s="92"/>
      <c r="B75" s="92"/>
      <c r="C75" s="1091" t="str">
        <f>IF('EXHIBIT C'!B70=SUM('EXHIBIT D'!G133+'EXHIBIT D'!G134),"Equal","Not Equal")</f>
        <v>Equal</v>
      </c>
      <c r="D75" s="82" t="s">
        <v>137</v>
      </c>
      <c r="E75" s="82"/>
      <c r="F75" s="82"/>
      <c r="G75" s="82"/>
    </row>
    <row r="76" spans="1:8" ht="20.100000000000001" customHeight="1">
      <c r="A76" s="92"/>
      <c r="B76" s="92"/>
      <c r="C76" s="131" t="s">
        <v>138</v>
      </c>
      <c r="D76" s="82"/>
      <c r="E76" s="82"/>
      <c r="F76" s="82"/>
      <c r="G76" s="82"/>
    </row>
    <row r="77" spans="1:8" ht="20.100000000000001" customHeight="1">
      <c r="C77" s="643" t="str">
        <f>IF((+'EXHIBIT A'!E26)='EXHIBIT C'!B61,"Equal","Not Equal")</f>
        <v>Equal</v>
      </c>
      <c r="D77" s="82" t="s">
        <v>139</v>
      </c>
      <c r="E77" s="82"/>
      <c r="F77" s="82"/>
      <c r="G77" s="82"/>
      <c r="H77" s="82"/>
    </row>
    <row r="78" spans="1:8" ht="20.100000000000001" customHeight="1">
      <c r="A78" s="92"/>
      <c r="B78" s="92"/>
      <c r="C78" s="1091" t="str">
        <f>IF('EXHIBIT C'!B61=SUM('EXHIBIT D'!G222+'EXHIBIT D'!G223),"Equal","Not Equal")</f>
        <v>Equal</v>
      </c>
      <c r="D78" s="82" t="s">
        <v>140</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141</v>
      </c>
      <c r="B81" s="91"/>
      <c r="C81" s="874" t="s">
        <v>142</v>
      </c>
      <c r="D81" s="874"/>
      <c r="E81" s="874"/>
      <c r="F81" s="874"/>
      <c r="G81" s="874"/>
      <c r="H81" s="790"/>
    </row>
    <row r="82" spans="1:8" ht="20.100000000000001" customHeight="1" thickBot="1">
      <c r="A82" s="92"/>
      <c r="B82" s="92"/>
      <c r="C82" s="82"/>
      <c r="D82" s="82"/>
      <c r="E82" s="134"/>
      <c r="F82" s="82"/>
      <c r="G82" s="82"/>
      <c r="H82" s="82"/>
    </row>
    <row r="83" spans="1:8" ht="38.1" customHeight="1">
      <c r="A83" s="92"/>
      <c r="B83" s="92"/>
      <c r="C83" s="135" t="s">
        <v>143</v>
      </c>
      <c r="D83" s="136" t="s">
        <v>144</v>
      </c>
      <c r="E83" s="135" t="s">
        <v>145</v>
      </c>
      <c r="F83" s="135" t="s">
        <v>113</v>
      </c>
      <c r="G83" s="82"/>
      <c r="H83" s="82"/>
    </row>
    <row r="84" spans="1:8" ht="20.100000000000001" customHeight="1">
      <c r="A84" s="92"/>
      <c r="B84" s="92"/>
      <c r="C84" s="640" t="s">
        <v>146</v>
      </c>
      <c r="D84" s="641">
        <f>VLOOKUP($D$7,VLOOKUP!$A$7:$E$35,2)</f>
        <v>31804903</v>
      </c>
      <c r="E84" s="1086">
        <f>+'EXHIBIT D'!G77</f>
        <v>31804903</v>
      </c>
      <c r="F84" s="1086">
        <f>D84-E84</f>
        <v>0</v>
      </c>
      <c r="G84" s="82"/>
      <c r="H84" s="82"/>
    </row>
    <row r="85" spans="1:8" ht="20.100000000000001" customHeight="1">
      <c r="A85" s="92"/>
      <c r="B85" s="92"/>
      <c r="C85" s="642" t="s">
        <v>147</v>
      </c>
      <c r="D85" s="641">
        <f>VLOOKUP($D$7,VLOOKUP!$A$157:$B$185,2)</f>
        <v>513163</v>
      </c>
      <c r="E85" s="1086">
        <f>'EXHIBIT D'!G79</f>
        <v>513163</v>
      </c>
      <c r="F85" s="1086">
        <f>D85-E85</f>
        <v>0</v>
      </c>
      <c r="G85" s="82"/>
      <c r="H85" s="82"/>
    </row>
    <row r="86" spans="1:8" ht="20.100000000000001" customHeight="1">
      <c r="A86" s="92"/>
      <c r="B86" s="92"/>
      <c r="C86" s="642" t="s">
        <v>148</v>
      </c>
      <c r="D86" s="641">
        <f>VLOOKUP($D$7,VLOOKUP!$A$7:$E$35,3)</f>
        <v>4767012</v>
      </c>
      <c r="E86" s="1086">
        <f>'EXHIBIT D'!G82</f>
        <v>4767012</v>
      </c>
      <c r="F86" s="1086">
        <f>D86-E86</f>
        <v>0</v>
      </c>
      <c r="G86" s="82"/>
      <c r="H86" s="82"/>
    </row>
    <row r="87" spans="1:8" ht="20.100000000000001" customHeight="1" thickBot="1">
      <c r="A87" s="91"/>
      <c r="B87" s="91"/>
      <c r="C87" s="137" t="s">
        <v>678</v>
      </c>
      <c r="D87" s="641">
        <f>VLOOKUP($D$7,VLOOKUP!$A$192:$B$220,2)</f>
        <v>1530501</v>
      </c>
      <c r="E87" s="1087">
        <f>'EXHIBIT D'!G78</f>
        <v>1530501</v>
      </c>
      <c r="F87" s="1086">
        <f>D87-E87</f>
        <v>0</v>
      </c>
      <c r="G87" s="82"/>
      <c r="H87" s="82"/>
    </row>
    <row r="88" spans="1:8" ht="20.100000000000001" customHeight="1" thickBot="1">
      <c r="A88" s="91"/>
      <c r="B88" s="91"/>
      <c r="C88" s="138" t="s">
        <v>149</v>
      </c>
      <c r="D88" s="139">
        <f>SUM(D84:D87)</f>
        <v>38615579</v>
      </c>
      <c r="E88" s="139">
        <f>SUM(E84:E87)</f>
        <v>38615579</v>
      </c>
      <c r="F88" s="139">
        <f>SUM(F84:F87)</f>
        <v>0</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150</v>
      </c>
      <c r="B91" s="91"/>
      <c r="C91" s="91" t="s">
        <v>151</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3" t="str">
        <f>IF(+'EXHIBIT E'!B21=+'EXHIBIT D'!G194,"Equal","Not Equal")</f>
        <v>Equal</v>
      </c>
      <c r="D93" s="82" t="s">
        <v>152</v>
      </c>
      <c r="E93" s="82"/>
      <c r="F93" s="82"/>
      <c r="G93" s="87"/>
      <c r="H93" s="82"/>
    </row>
    <row r="94" spans="1:8" ht="20.100000000000001" customHeight="1">
      <c r="A94" s="92"/>
      <c r="B94" s="92"/>
      <c r="C94" s="643" t="str">
        <f>IF(+'EXHIBIT E'!C21=+'EXHIBIT D'!G228,"Equal","Not Equal")</f>
        <v>Equal</v>
      </c>
      <c r="D94" s="82" t="s">
        <v>153</v>
      </c>
      <c r="E94" s="141"/>
      <c r="F94" s="82"/>
      <c r="G94" s="87"/>
      <c r="H94" s="82"/>
    </row>
    <row r="95" spans="1:8" ht="20.100000000000001" customHeight="1">
      <c r="C95" s="643" t="str">
        <f>IF(+'EXHIBIT E'!D21=+'EXHIBIT D'!G246,"Equal","Not Equal")</f>
        <v>Equal</v>
      </c>
      <c r="D95" s="82" t="s">
        <v>154</v>
      </c>
      <c r="E95" s="141"/>
      <c r="F95" s="82"/>
      <c r="G95" s="82"/>
      <c r="H95" s="82"/>
    </row>
    <row r="96" spans="1:8" ht="20.100000000000001" customHeight="1">
      <c r="A96" s="91"/>
      <c r="B96" s="91"/>
      <c r="C96" s="643" t="str">
        <f>IF(+'EXHIBIT E'!E21=+'EXHIBIT D'!G248,"Equal","Not Equal")</f>
        <v>Equal</v>
      </c>
      <c r="D96" s="142" t="s">
        <v>47</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155</v>
      </c>
      <c r="B99" s="144"/>
      <c r="C99" s="875" t="s">
        <v>763</v>
      </c>
      <c r="D99" s="875"/>
      <c r="E99" s="875"/>
      <c r="F99" s="875"/>
      <c r="G99" s="799"/>
      <c r="H99" s="799"/>
    </row>
    <row r="100" spans="1:8" ht="20.100000000000001" customHeight="1">
      <c r="A100" s="143"/>
      <c r="B100" s="144"/>
      <c r="C100" s="799"/>
      <c r="D100" s="799"/>
      <c r="E100" s="799"/>
      <c r="F100" s="799"/>
      <c r="G100" s="82"/>
      <c r="H100" s="82"/>
    </row>
    <row r="101" spans="1:8" ht="20.100000000000001" customHeight="1">
      <c r="C101" s="644">
        <f>+'EXHIBIT A'!E40</f>
        <v>7769490</v>
      </c>
      <c r="D101" s="786" t="s">
        <v>726</v>
      </c>
      <c r="E101" s="786"/>
      <c r="F101" s="786"/>
      <c r="G101" s="82"/>
      <c r="H101" s="82"/>
    </row>
    <row r="102" spans="1:8" ht="20.100000000000001" customHeight="1">
      <c r="A102" s="89"/>
      <c r="B102" s="89"/>
      <c r="C102" s="644">
        <f>'EXHIBIT D'!G266-'EXHIBIT D'!G252-'EXHIBIT D'!G264</f>
        <v>7769490</v>
      </c>
      <c r="D102" s="788" t="s">
        <v>727</v>
      </c>
      <c r="E102" s="788"/>
      <c r="F102" s="788"/>
      <c r="G102" s="82"/>
      <c r="H102" s="82"/>
    </row>
    <row r="103" spans="1:8" ht="66.599999999999994" customHeight="1">
      <c r="A103" s="145"/>
      <c r="B103" s="145"/>
      <c r="C103" s="645">
        <f>C101-C102</f>
        <v>0</v>
      </c>
      <c r="D103" s="876" t="s">
        <v>685</v>
      </c>
      <c r="E103" s="876"/>
      <c r="F103" s="876"/>
      <c r="G103" s="876"/>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156</v>
      </c>
      <c r="B106" s="89"/>
      <c r="C106" s="869" t="s">
        <v>689</v>
      </c>
      <c r="D106" s="869"/>
      <c r="E106" s="869"/>
      <c r="F106" s="869"/>
      <c r="G106" s="869"/>
      <c r="H106" s="787"/>
    </row>
    <row r="107" spans="1:8" ht="20.100000000000001" customHeight="1">
      <c r="A107" s="145"/>
      <c r="B107" s="145"/>
    </row>
    <row r="108" spans="1:8" ht="24.75" customHeight="1">
      <c r="A108" s="145"/>
      <c r="B108" s="145"/>
      <c r="C108" s="148">
        <f>'EXHIBIT A'!E14</f>
        <v>45694551</v>
      </c>
      <c r="D108" s="11" t="s">
        <v>728</v>
      </c>
    </row>
    <row r="109" spans="1:8" ht="26.25" customHeight="1">
      <c r="A109" s="145"/>
      <c r="B109" s="145"/>
      <c r="C109" s="646">
        <f>'EXHIBIT A'!E36</f>
        <v>46034551</v>
      </c>
      <c r="D109" s="11" t="s">
        <v>729</v>
      </c>
    </row>
    <row r="110" spans="1:8" ht="26.1" customHeight="1">
      <c r="A110" s="145"/>
      <c r="B110" s="145"/>
      <c r="C110" s="647">
        <f>C108-C109</f>
        <v>-340000</v>
      </c>
      <c r="D110" s="83" t="s">
        <v>157</v>
      </c>
      <c r="E110" s="83"/>
      <c r="F110" s="83"/>
      <c r="G110" s="83"/>
    </row>
    <row r="111" spans="1:8" ht="20.100000000000001" customHeight="1">
      <c r="A111" s="145"/>
      <c r="B111" s="145"/>
      <c r="C111" s="148"/>
    </row>
    <row r="112" spans="1:8" ht="26.1" customHeight="1">
      <c r="A112" s="145"/>
      <c r="B112" s="145"/>
      <c r="C112" s="645">
        <f>'EXHIBIT D'!G186</f>
        <v>340000</v>
      </c>
      <c r="D112" s="142" t="s">
        <v>158</v>
      </c>
      <c r="E112" s="86"/>
      <c r="F112" s="86"/>
    </row>
    <row r="113" spans="1:8" ht="20.100000000000001" customHeight="1"/>
    <row r="114" spans="1:8" ht="38.450000000000003" customHeight="1">
      <c r="C114" s="1089">
        <f>C110+C112</f>
        <v>0</v>
      </c>
      <c r="D114" s="876" t="s">
        <v>686</v>
      </c>
      <c r="E114" s="876"/>
      <c r="F114" s="876"/>
      <c r="G114" s="876"/>
    </row>
    <row r="115" spans="1:8" ht="20.100000000000001" customHeight="1">
      <c r="C115" s="148"/>
      <c r="D115" s="10"/>
    </row>
    <row r="116" spans="1:8" ht="20.100000000000001" customHeight="1">
      <c r="A116" s="22"/>
      <c r="B116" s="22"/>
      <c r="C116" s="22"/>
    </row>
    <row r="117" spans="1:8" ht="39" customHeight="1">
      <c r="A117" s="149" t="s">
        <v>159</v>
      </c>
      <c r="B117" s="22"/>
      <c r="C117" s="869" t="s">
        <v>160</v>
      </c>
      <c r="D117" s="869"/>
      <c r="E117" s="869"/>
      <c r="F117" s="869"/>
      <c r="G117" s="869"/>
      <c r="H117" s="787"/>
    </row>
    <row r="118" spans="1:8" ht="20.100000000000001" customHeight="1"/>
    <row r="119" spans="1:8" ht="20.100000000000001" customHeight="1">
      <c r="C119" s="150">
        <f>IF('EXHIBIT G'!D117=0,"No Credit Hours or Not Applicable",('EXHIBIT G'!D117/'EXHIBIT C'!F10))</f>
        <v>91.790015634265998</v>
      </c>
      <c r="D119" s="11" t="s">
        <v>78</v>
      </c>
    </row>
    <row r="120" spans="1:8" ht="20.100000000000001" customHeight="1">
      <c r="C120" s="151"/>
    </row>
    <row r="121" spans="1:8" ht="20.100000000000001" customHeight="1">
      <c r="C121" s="152">
        <f>IF('EXHIBIT G'!D118=0,"No Credit Hours or Not Applicable",('EXHIBIT G'!D118/'EXHIBIT C'!D19))</f>
        <v>275</v>
      </c>
      <c r="D121" s="11" t="s">
        <v>161</v>
      </c>
      <c r="F121" s="22"/>
      <c r="G121" s="22"/>
      <c r="H121" s="22"/>
    </row>
    <row r="122" spans="1:8" ht="20.100000000000001" customHeight="1">
      <c r="C122" s="153"/>
      <c r="F122" s="22"/>
      <c r="G122" s="22"/>
      <c r="H122" s="22"/>
    </row>
    <row r="123" spans="1:8" ht="20.100000000000001" customHeight="1">
      <c r="C123" s="801"/>
      <c r="D123" s="802"/>
      <c r="E123" s="802"/>
    </row>
    <row r="124" spans="1:8" ht="20.100000000000001" customHeight="1">
      <c r="A124" s="22" t="s">
        <v>162</v>
      </c>
      <c r="B124" s="22"/>
      <c r="C124" s="22" t="s">
        <v>163</v>
      </c>
    </row>
    <row r="125" spans="1:8" ht="20.100000000000001" customHeight="1"/>
    <row r="126" spans="1:8" ht="42.6" customHeight="1">
      <c r="C126" s="1088" t="str">
        <f>IF(+'EXHIBIT G'!D117='EXHIBIT C'!H10,"Equal","Not Equal")</f>
        <v>Equal</v>
      </c>
      <c r="D126" s="877" t="s">
        <v>687</v>
      </c>
      <c r="E126" s="877"/>
      <c r="F126" s="877"/>
      <c r="G126" s="877"/>
    </row>
    <row r="127" spans="1:8" ht="20.100000000000001" customHeight="1">
      <c r="C127" s="151"/>
      <c r="D127" s="84"/>
      <c r="E127" s="84"/>
      <c r="F127" s="84"/>
      <c r="G127" s="84"/>
    </row>
    <row r="128" spans="1:8" ht="20.100000000000001" customHeight="1"/>
    <row r="129" spans="1:8" ht="58.35" customHeight="1">
      <c r="C129" s="1088" t="str">
        <f>IF(+'EXHIBIT G'!D118='EXHIBIT C'!F19,"Equal","Not Equal")</f>
        <v>Equal</v>
      </c>
      <c r="D129" s="877" t="s">
        <v>688</v>
      </c>
      <c r="E129" s="877"/>
      <c r="F129" s="877"/>
      <c r="G129" s="877"/>
    </row>
    <row r="130" spans="1:8" ht="20.100000000000001" customHeight="1">
      <c r="C130" s="151"/>
      <c r="D130" s="84"/>
      <c r="E130" s="84"/>
      <c r="F130" s="84"/>
      <c r="G130" s="84"/>
    </row>
    <row r="131" spans="1:8" ht="20.100000000000001" customHeight="1">
      <c r="C131" s="151"/>
      <c r="D131" s="800"/>
      <c r="E131" s="800"/>
      <c r="F131" s="800"/>
      <c r="G131" s="800"/>
    </row>
    <row r="132" spans="1:8" ht="20.100000000000001" customHeight="1">
      <c r="C132" s="10"/>
      <c r="D132" s="800"/>
      <c r="E132" s="800"/>
      <c r="F132" s="800"/>
      <c r="G132" s="800"/>
    </row>
    <row r="133" spans="1:8" ht="62.1" customHeight="1">
      <c r="A133" s="149" t="s">
        <v>164</v>
      </c>
      <c r="B133" s="22"/>
      <c r="C133" s="869" t="s">
        <v>712</v>
      </c>
      <c r="D133" s="869"/>
      <c r="E133" s="869"/>
      <c r="F133" s="869"/>
      <c r="G133" s="869"/>
      <c r="H133" s="787"/>
    </row>
    <row r="134" spans="1:8" ht="20.100000000000001" customHeight="1"/>
    <row r="135" spans="1:8" ht="20.100000000000001" customHeight="1">
      <c r="C135" s="1088" t="str">
        <f>IF(+'EXHIBIT G'!F112='EXHIBIT G'!F128,"Equal","Not Equal")</f>
        <v>Equal</v>
      </c>
      <c r="D135" s="786" t="s">
        <v>165</v>
      </c>
      <c r="E135" s="786"/>
      <c r="F135" s="786"/>
    </row>
    <row r="136" spans="1:8" ht="20.100000000000001" customHeight="1" thickBot="1">
      <c r="C136" s="10"/>
    </row>
    <row r="137" spans="1:8" ht="24.6" customHeight="1" thickBot="1">
      <c r="C137" s="795" t="s">
        <v>693</v>
      </c>
      <c r="D137" s="796"/>
      <c r="E137" s="796"/>
      <c r="F137" s="796"/>
      <c r="G137" s="797"/>
      <c r="H137" s="22"/>
    </row>
    <row r="138" spans="1:8" ht="199.5" customHeight="1" thickBot="1">
      <c r="C138" s="1051"/>
      <c r="D138" s="1052"/>
      <c r="E138" s="1052"/>
      <c r="F138" s="1052"/>
      <c r="G138" s="1053"/>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70" zoomScaleNormal="70" zoomScaleSheetLayoutView="90" zoomScalePageLayoutView="70" workbookViewId="0">
      <selection activeCell="B8" sqref="B8"/>
    </sheetView>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8" t="s">
        <v>166</v>
      </c>
      <c r="C1" s="878"/>
      <c r="D1" s="878"/>
      <c r="E1" s="878"/>
      <c r="F1" s="274"/>
      <c r="G1" s="274"/>
    </row>
    <row r="2" spans="2:7" ht="26.25">
      <c r="B2" s="878" t="s">
        <v>11</v>
      </c>
      <c r="C2" s="878"/>
      <c r="D2" s="878"/>
      <c r="E2" s="878"/>
      <c r="F2" s="476"/>
      <c r="G2" s="476"/>
    </row>
    <row r="3" spans="2:7" ht="26.25">
      <c r="B3" s="878" t="s">
        <v>167</v>
      </c>
      <c r="C3" s="878"/>
      <c r="D3" s="878"/>
      <c r="E3" s="878"/>
      <c r="F3" s="476"/>
      <c r="G3" s="476"/>
    </row>
    <row r="4" spans="2:7" ht="26.25">
      <c r="B4" s="878" t="s">
        <v>168</v>
      </c>
      <c r="C4" s="878"/>
      <c r="D4" s="878"/>
      <c r="E4" s="878"/>
      <c r="F4" s="476"/>
      <c r="G4" s="476"/>
    </row>
    <row r="5" spans="2:7" ht="26.25">
      <c r="B5" s="878" t="s">
        <v>731</v>
      </c>
      <c r="C5" s="878"/>
      <c r="D5" s="878"/>
      <c r="E5" s="878"/>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169</v>
      </c>
      <c r="C8" s="803" t="str">
        <f>'CHECK SHEET'!D7</f>
        <v>State College of Florida, Manatee-Sarasota</v>
      </c>
      <c r="D8" s="803"/>
      <c r="E8" s="803"/>
      <c r="F8" s="273"/>
      <c r="G8" s="273"/>
    </row>
    <row r="9" spans="2:7" ht="25.35" customHeight="1"/>
    <row r="10" spans="2:7" ht="41.45" customHeight="1">
      <c r="E10" s="554" t="s">
        <v>170</v>
      </c>
    </row>
    <row r="11" spans="2:7" ht="25.35" customHeight="1">
      <c r="B11" s="22" t="s">
        <v>732</v>
      </c>
      <c r="D11" s="22"/>
      <c r="E11" s="155"/>
    </row>
    <row r="12" spans="2:7" ht="25.35" customHeight="1">
      <c r="B12" s="22"/>
      <c r="C12" s="22"/>
      <c r="D12" s="22"/>
    </row>
    <row r="13" spans="2:7" ht="25.35" customHeight="1">
      <c r="B13" s="11" t="s">
        <v>733</v>
      </c>
      <c r="C13" s="22"/>
      <c r="D13" s="22"/>
      <c r="E13" s="1094">
        <v>8769490</v>
      </c>
    </row>
    <row r="14" spans="2:7" ht="25.35" customHeight="1">
      <c r="B14" s="11" t="s">
        <v>171</v>
      </c>
      <c r="D14" s="22"/>
      <c r="E14" s="1157">
        <f>32285551+13409000</f>
        <v>45694551</v>
      </c>
    </row>
    <row r="15" spans="2:7" ht="25.35" customHeight="1">
      <c r="B15" s="22"/>
      <c r="D15" s="22"/>
      <c r="E15" s="156"/>
    </row>
    <row r="16" spans="2:7" ht="25.35" customHeight="1">
      <c r="B16" s="11" t="s">
        <v>734</v>
      </c>
      <c r="C16" s="22"/>
      <c r="D16" s="22"/>
      <c r="E16" s="555">
        <f>+E14+E13</f>
        <v>54464041</v>
      </c>
    </row>
    <row r="17" spans="2:7" ht="25.35" customHeight="1">
      <c r="B17" s="22"/>
      <c r="C17" s="22"/>
      <c r="D17" s="22"/>
      <c r="E17" s="157"/>
    </row>
    <row r="18" spans="2:7" ht="25.35" customHeight="1">
      <c r="B18" s="11" t="s">
        <v>172</v>
      </c>
      <c r="C18" s="22"/>
      <c r="D18" s="22"/>
      <c r="E18" s="167">
        <f>+'EXHIBIT D'!G143-SUM(+'EXHIBIT D'!G133+'EXHIBIT D'!G134)</f>
        <v>62000609</v>
      </c>
      <c r="G18" s="132"/>
    </row>
    <row r="19" spans="2:7" ht="25.35" customHeight="1">
      <c r="B19" s="11" t="s">
        <v>173</v>
      </c>
      <c r="D19" s="22"/>
      <c r="E19" s="555">
        <f>+'EXHIBIT D'!G133+'EXHIBIT D'!G134</f>
        <v>436297</v>
      </c>
    </row>
    <row r="20" spans="2:7" ht="25.35" customHeight="1">
      <c r="B20" s="22"/>
      <c r="D20" s="22"/>
      <c r="E20" s="162"/>
    </row>
    <row r="21" spans="2:7" ht="25.35" customHeight="1">
      <c r="B21" s="11" t="s">
        <v>174</v>
      </c>
      <c r="C21" s="22"/>
      <c r="D21" s="22"/>
      <c r="E21" s="556">
        <f>+E19+E18</f>
        <v>62436906</v>
      </c>
    </row>
    <row r="22" spans="2:7" ht="25.35" customHeight="1">
      <c r="B22" s="22"/>
      <c r="C22" s="22"/>
      <c r="D22" s="22"/>
      <c r="E22" s="162"/>
    </row>
    <row r="23" spans="2:7" ht="25.35" customHeight="1">
      <c r="B23" s="22" t="s">
        <v>175</v>
      </c>
      <c r="C23" s="22"/>
      <c r="D23" s="22"/>
      <c r="E23" s="556">
        <f>+E21+E16</f>
        <v>116900947</v>
      </c>
    </row>
    <row r="24" spans="2:7" ht="25.35" customHeight="1">
      <c r="B24" s="22"/>
      <c r="C24" s="22"/>
      <c r="D24" s="22"/>
      <c r="E24" s="162"/>
    </row>
    <row r="25" spans="2:7" ht="25.35" customHeight="1">
      <c r="B25" s="11" t="s">
        <v>176</v>
      </c>
      <c r="C25" s="22"/>
      <c r="D25" s="22"/>
      <c r="E25" s="168">
        <f>'EXHIBIT D'!G248-SUM(+'EXHIBIT D'!G222+'EXHIBIT D'!G223)</f>
        <v>60906405</v>
      </c>
    </row>
    <row r="26" spans="2:7" ht="25.35" customHeight="1">
      <c r="B26" s="11" t="s">
        <v>177</v>
      </c>
      <c r="D26" s="22"/>
      <c r="E26" s="555">
        <f>'EXHIBIT D'!G222+'EXHIBIT D'!G223</f>
        <v>1530501</v>
      </c>
    </row>
    <row r="27" spans="2:7" ht="25.35" customHeight="1">
      <c r="B27" s="22"/>
      <c r="D27" s="22"/>
      <c r="E27" s="162"/>
    </row>
    <row r="28" spans="2:7" ht="25.35" customHeight="1">
      <c r="B28" s="22" t="s">
        <v>178</v>
      </c>
      <c r="C28" s="22"/>
      <c r="D28" s="22"/>
      <c r="E28" s="557">
        <f>+E26+E25</f>
        <v>62436906</v>
      </c>
    </row>
    <row r="29" spans="2:7" ht="25.35" customHeight="1">
      <c r="B29" s="22"/>
      <c r="C29" s="22"/>
      <c r="D29" s="22"/>
      <c r="E29" s="158"/>
    </row>
    <row r="30" spans="2:7" ht="25.35" customHeight="1">
      <c r="B30" s="22" t="s">
        <v>735</v>
      </c>
      <c r="C30" s="22"/>
      <c r="D30" s="22"/>
      <c r="E30" s="158"/>
    </row>
    <row r="31" spans="2:7" ht="25.35" customHeight="1">
      <c r="B31" s="22"/>
      <c r="C31" s="22"/>
      <c r="D31" s="22"/>
      <c r="E31" s="158"/>
    </row>
    <row r="32" spans="2:7" ht="25.35" customHeight="1">
      <c r="B32" s="11" t="s">
        <v>179</v>
      </c>
      <c r="C32" s="22"/>
      <c r="D32" s="159">
        <f>+E23-E28</f>
        <v>54464041</v>
      </c>
      <c r="E32" s="158"/>
    </row>
    <row r="33" spans="2:10" ht="25.35" customHeight="1">
      <c r="B33" s="11" t="s">
        <v>180</v>
      </c>
      <c r="C33" s="22"/>
      <c r="D33" s="558">
        <f>+'EXHIBIT D'!G186</f>
        <v>340000</v>
      </c>
      <c r="E33" s="158"/>
    </row>
    <row r="34" spans="2:10" ht="25.35" customHeight="1">
      <c r="B34" s="22"/>
      <c r="D34" s="22"/>
      <c r="E34" s="158"/>
      <c r="J34" s="160"/>
    </row>
    <row r="35" spans="2:10" ht="25.35" customHeight="1">
      <c r="B35" s="11" t="s">
        <v>736</v>
      </c>
      <c r="C35" s="22"/>
      <c r="D35" s="22"/>
      <c r="E35" s="161">
        <f>+D32+D33</f>
        <v>54804041</v>
      </c>
    </row>
    <row r="36" spans="2:10" ht="25.35" customHeight="1">
      <c r="B36" s="11" t="s">
        <v>737</v>
      </c>
      <c r="C36" s="22"/>
      <c r="D36" s="22"/>
      <c r="E36" s="556">
        <f>-'EXHIBIT D'!G264</f>
        <v>46034551</v>
      </c>
      <c r="J36" s="42"/>
    </row>
    <row r="37" spans="2:10" ht="25.35" customHeight="1">
      <c r="D37" s="22"/>
      <c r="E37" s="161"/>
    </row>
    <row r="38" spans="2:10" ht="25.35" customHeight="1">
      <c r="B38" s="22" t="s">
        <v>738</v>
      </c>
      <c r="D38" s="22"/>
      <c r="E38" s="555">
        <f>+E35-E36</f>
        <v>8769490</v>
      </c>
    </row>
    <row r="39" spans="2:10" ht="25.35" customHeight="1">
      <c r="B39" s="22"/>
      <c r="C39" s="22"/>
      <c r="D39" s="22"/>
      <c r="E39" s="162"/>
    </row>
    <row r="40" spans="2:10" ht="25.35" customHeight="1">
      <c r="B40" s="11" t="s">
        <v>739</v>
      </c>
      <c r="C40" s="22"/>
      <c r="D40" s="22"/>
      <c r="E40" s="557">
        <f>'EXHIBIT D'!G253+'EXHIBIT D'!G254+'EXHIBIT D'!G255+'EXHIBIT D'!G256+'EXHIBIT D'!G257+'EXHIBIT D'!G258+'EXHIBIT D'!G259+'EXHIBIT D'!G260</f>
        <v>7769490</v>
      </c>
    </row>
    <row r="41" spans="2:10" ht="25.35" customHeight="1">
      <c r="B41" s="11" t="s">
        <v>181</v>
      </c>
      <c r="D41" s="22"/>
      <c r="E41" s="163"/>
    </row>
    <row r="42" spans="2:10" ht="25.35" customHeight="1">
      <c r="D42" s="22"/>
      <c r="E42" s="164"/>
    </row>
    <row r="43" spans="2:10" ht="25.35" customHeight="1">
      <c r="B43" s="22" t="s">
        <v>182</v>
      </c>
      <c r="D43" s="22"/>
      <c r="E43" s="164"/>
    </row>
    <row r="44" spans="2:10" ht="25.35" customHeight="1">
      <c r="B44" s="22" t="s">
        <v>740</v>
      </c>
      <c r="C44" s="22"/>
      <c r="D44" s="22"/>
      <c r="E44" s="559">
        <f>+E40/E23</f>
        <v>6.6462164759024583E-2</v>
      </c>
    </row>
    <row r="45" spans="2:10" ht="25.35" customHeight="1">
      <c r="B45" s="22"/>
      <c r="C45" s="22"/>
      <c r="D45" s="22"/>
      <c r="E45" s="164"/>
    </row>
    <row r="46" spans="2:10" ht="25.35" customHeight="1">
      <c r="B46" s="22" t="s">
        <v>183</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0"/>
      <c r="C50" s="560"/>
      <c r="D50" s="22"/>
      <c r="E50" s="561"/>
    </row>
    <row r="51" spans="2:5" ht="25.35" customHeight="1">
      <c r="B51" s="22" t="s">
        <v>184</v>
      </c>
      <c r="E51" s="165" t="s">
        <v>185</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sheetProtection algorithmName="SHA-512" hashValue="saXAPg4hsIIhz0ca6xRpoBnd6X9oZ7uPqn60ipwt6XAyFw8Bz+9W7Gk/TUN/od1HrHfpx/U2xqZ1/qYvEa03WQ==" saltValue="lAZ2lH8J3sRkbg3FaPJKPQ=="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topLeftCell="A28" zoomScale="70" zoomScaleNormal="70" zoomScalePageLayoutView="50" workbookViewId="0">
      <selection activeCell="C29" sqref="C29"/>
    </sheetView>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186</v>
      </c>
      <c r="L1" s="324"/>
      <c r="M1" s="324"/>
      <c r="N1" s="324"/>
      <c r="O1" s="324"/>
      <c r="P1" s="324"/>
      <c r="Q1" s="324"/>
      <c r="R1" s="324"/>
    </row>
    <row r="2" spans="1:18" s="274" customFormat="1" ht="20.100000000000001" customHeight="1"/>
    <row r="3" spans="1:18" s="274" customFormat="1" ht="20.100000000000001" customHeight="1">
      <c r="A3" s="878" t="s">
        <v>11</v>
      </c>
      <c r="B3" s="878"/>
      <c r="C3" s="878"/>
      <c r="D3" s="878"/>
      <c r="E3" s="878"/>
      <c r="F3" s="878"/>
      <c r="G3" s="878"/>
      <c r="H3" s="878"/>
      <c r="I3" s="476"/>
      <c r="J3" s="273"/>
      <c r="K3" s="273"/>
    </row>
    <row r="4" spans="1:18" s="274" customFormat="1" ht="20.100000000000001" customHeight="1">
      <c r="A4" s="878" t="s">
        <v>167</v>
      </c>
      <c r="B4" s="878"/>
      <c r="C4" s="878"/>
      <c r="D4" s="878"/>
      <c r="E4" s="878"/>
      <c r="F4" s="878"/>
      <c r="G4" s="878"/>
      <c r="H4" s="878"/>
      <c r="I4" s="476"/>
    </row>
    <row r="5" spans="1:18" s="274" customFormat="1" ht="24" customHeight="1">
      <c r="A5" s="878" t="s">
        <v>741</v>
      </c>
      <c r="B5" s="878"/>
      <c r="C5" s="878"/>
      <c r="D5" s="878"/>
      <c r="E5" s="878"/>
      <c r="F5" s="878"/>
      <c r="G5" s="878"/>
      <c r="H5" s="878"/>
      <c r="I5" s="476"/>
    </row>
    <row r="6" spans="1:18" s="274" customFormat="1" ht="24" customHeight="1">
      <c r="A6" s="878" t="s">
        <v>187</v>
      </c>
      <c r="B6" s="878"/>
      <c r="C6" s="878"/>
      <c r="D6" s="878"/>
      <c r="E6" s="878"/>
      <c r="F6" s="878"/>
      <c r="G6" s="878"/>
      <c r="H6" s="878"/>
      <c r="I6" s="476"/>
    </row>
    <row r="7" spans="1:18" s="274" customFormat="1" ht="20.100000000000001" customHeight="1">
      <c r="A7" s="878"/>
      <c r="B7" s="878"/>
      <c r="C7" s="878"/>
      <c r="D7" s="878"/>
      <c r="E7" s="878"/>
      <c r="F7" s="878"/>
      <c r="G7" s="878"/>
      <c r="H7" s="878"/>
      <c r="I7" s="476"/>
    </row>
    <row r="8" spans="1:18" s="274" customFormat="1" ht="25.35" customHeight="1" thickBot="1">
      <c r="A8" s="878"/>
      <c r="B8" s="880"/>
      <c r="C8" s="878" t="s">
        <v>169</v>
      </c>
      <c r="D8" s="881" t="str">
        <f>'CHECK SHEET'!D7</f>
        <v>State College of Florida, Manatee-Sarasota</v>
      </c>
      <c r="E8" s="881"/>
      <c r="F8" s="881"/>
      <c r="G8" s="881"/>
      <c r="H8" s="881"/>
    </row>
    <row r="9" spans="1:18" s="11" customFormat="1" ht="20.100000000000001" customHeight="1"/>
    <row r="10" spans="1:18" s="11" customFormat="1" ht="20.100000000000001" customHeight="1">
      <c r="B10" s="22"/>
      <c r="C10" s="22"/>
      <c r="D10" s="22"/>
      <c r="E10" s="879"/>
      <c r="F10" s="25"/>
      <c r="G10" s="25"/>
    </row>
    <row r="11" spans="1:18" s="11" customFormat="1" ht="20.100000000000001" customHeight="1">
      <c r="B11" s="804" t="s">
        <v>188</v>
      </c>
      <c r="C11" s="804"/>
      <c r="D11" s="22"/>
      <c r="E11" s="22"/>
    </row>
    <row r="12" spans="1:18" s="11" customFormat="1" ht="20.100000000000001" customHeight="1" thickBot="1">
      <c r="B12" s="805" t="s">
        <v>189</v>
      </c>
      <c r="C12" s="805"/>
      <c r="D12" s="805"/>
      <c r="E12" s="805"/>
      <c r="J12" s="22"/>
    </row>
    <row r="13" spans="1:18" s="11" customFormat="1" ht="105.75" customHeight="1" thickBot="1">
      <c r="A13" s="327" t="s">
        <v>190</v>
      </c>
      <c r="B13" s="295" t="s">
        <v>191</v>
      </c>
      <c r="C13" s="809" t="s">
        <v>192</v>
      </c>
      <c r="D13" s="295" t="s">
        <v>193</v>
      </c>
      <c r="E13" s="295" t="s">
        <v>194</v>
      </c>
      <c r="F13" s="808" t="s">
        <v>195</v>
      </c>
      <c r="G13" s="295" t="s">
        <v>47</v>
      </c>
      <c r="H13" s="809" t="s">
        <v>196</v>
      </c>
      <c r="J13" s="22"/>
    </row>
    <row r="14" spans="1:18" s="11" customFormat="1" ht="20.100000000000001" customHeight="1">
      <c r="A14" s="22" t="s">
        <v>197</v>
      </c>
      <c r="B14" s="928">
        <v>91.79</v>
      </c>
      <c r="C14" s="928">
        <v>4.37</v>
      </c>
      <c r="D14" s="928">
        <v>6.55</v>
      </c>
      <c r="E14" s="928">
        <v>6.56</v>
      </c>
      <c r="F14" s="928">
        <v>2.81</v>
      </c>
      <c r="G14" s="649">
        <f>SUM(B14:F14)</f>
        <v>112.08000000000001</v>
      </c>
      <c r="H14" s="355">
        <f>G14*30</f>
        <v>3362.4000000000005</v>
      </c>
    </row>
    <row r="15" spans="1:18" s="11" customFormat="1" ht="20.100000000000001" customHeight="1">
      <c r="A15" s="22" t="s">
        <v>198</v>
      </c>
      <c r="B15" s="929">
        <v>78.84</v>
      </c>
      <c r="C15" s="929">
        <v>3.94</v>
      </c>
      <c r="D15" s="929">
        <v>7.88</v>
      </c>
      <c r="E15" s="929">
        <v>7.88</v>
      </c>
      <c r="F15" s="929">
        <v>3.94</v>
      </c>
      <c r="G15" s="649">
        <f>SUM(B15:F15)</f>
        <v>102.47999999999999</v>
      </c>
      <c r="H15" s="328">
        <f>G15*30</f>
        <v>3074.3999999999996</v>
      </c>
    </row>
    <row r="16" spans="1:18" s="11" customFormat="1" ht="20.100000000000001" customHeight="1" thickBot="1">
      <c r="A16" s="22" t="s">
        <v>74</v>
      </c>
      <c r="B16" s="930">
        <v>0</v>
      </c>
      <c r="C16" s="930">
        <v>0</v>
      </c>
      <c r="D16" s="931"/>
      <c r="E16" s="930">
        <v>0</v>
      </c>
      <c r="F16" s="930">
        <v>0</v>
      </c>
      <c r="G16" s="329">
        <f>SUM(B16:F16)</f>
        <v>0</v>
      </c>
      <c r="H16" s="650">
        <f>G16*30</f>
        <v>0</v>
      </c>
    </row>
    <row r="17" spans="1:11" s="11" customFormat="1" ht="20.100000000000001" customHeight="1" thickBot="1">
      <c r="A17" s="283"/>
      <c r="B17" s="348"/>
      <c r="C17" s="513"/>
      <c r="D17" s="513"/>
      <c r="E17" s="513"/>
      <c r="F17" s="513"/>
      <c r="G17" s="354"/>
      <c r="H17" s="330"/>
    </row>
    <row r="18" spans="1:11" s="11" customFormat="1" ht="65.099999999999994" customHeight="1" thickBot="1">
      <c r="A18" s="338" t="s">
        <v>190</v>
      </c>
      <c r="B18" s="295" t="s">
        <v>199</v>
      </c>
      <c r="C18" s="357"/>
      <c r="D18" s="357"/>
      <c r="E18" s="357"/>
      <c r="F18" s="357"/>
      <c r="G18" s="353" t="s">
        <v>47</v>
      </c>
      <c r="H18" s="809" t="s">
        <v>200</v>
      </c>
    </row>
    <row r="19" spans="1:11" s="11" customFormat="1" ht="20.100000000000001" customHeight="1">
      <c r="A19" s="22" t="s">
        <v>201</v>
      </c>
      <c r="B19" s="648">
        <v>0</v>
      </c>
      <c r="C19" s="356"/>
      <c r="D19" s="356"/>
      <c r="E19" s="356"/>
      <c r="F19" s="356"/>
      <c r="G19" s="649">
        <f>B19</f>
        <v>0</v>
      </c>
      <c r="H19" s="577">
        <f>G19*3</f>
        <v>0</v>
      </c>
    </row>
    <row r="20" spans="1:11" s="11" customFormat="1" ht="20.100000000000001" customHeight="1" thickBot="1">
      <c r="A20" s="22" t="s">
        <v>202</v>
      </c>
      <c r="B20" s="568">
        <v>0</v>
      </c>
      <c r="C20" s="310"/>
      <c r="D20" s="310"/>
      <c r="E20" s="310"/>
      <c r="F20" s="310"/>
      <c r="G20" s="331">
        <f>B20</f>
        <v>0</v>
      </c>
      <c r="H20" s="543">
        <f>G20*3</f>
        <v>0</v>
      </c>
    </row>
    <row r="21" spans="1:11" s="11" customFormat="1" ht="20.100000000000001" customHeight="1" thickBot="1">
      <c r="A21" s="332"/>
      <c r="B21" s="348"/>
      <c r="C21" s="283"/>
      <c r="D21" s="283"/>
      <c r="E21" s="283"/>
      <c r="F21" s="283"/>
      <c r="G21" s="354"/>
      <c r="H21" s="330"/>
    </row>
    <row r="22" spans="1:11" s="11" customFormat="1" ht="20.100000000000001" customHeight="1">
      <c r="A22" s="22" t="s">
        <v>203</v>
      </c>
      <c r="B22" s="425">
        <v>0</v>
      </c>
      <c r="C22" s="514"/>
      <c r="D22" s="514"/>
      <c r="E22" s="514"/>
      <c r="F22" s="514"/>
      <c r="G22" s="333">
        <f>B22</f>
        <v>0</v>
      </c>
      <c r="H22" s="352">
        <f>G22*2</f>
        <v>0</v>
      </c>
    </row>
    <row r="23" spans="1:11" s="11" customFormat="1" ht="20.100000000000001" customHeight="1" thickBot="1">
      <c r="A23" s="22" t="s">
        <v>204</v>
      </c>
      <c r="B23" s="651">
        <v>0</v>
      </c>
      <c r="C23" s="310"/>
      <c r="D23" s="310"/>
      <c r="E23" s="310"/>
      <c r="F23" s="310"/>
      <c r="G23" s="652">
        <f>B23</f>
        <v>0</v>
      </c>
      <c r="H23" s="650">
        <f>G23*2</f>
        <v>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205</v>
      </c>
      <c r="C26" s="22"/>
      <c r="D26" s="22"/>
      <c r="E26" s="22"/>
      <c r="F26" s="334"/>
      <c r="G26" s="334"/>
      <c r="H26" s="334"/>
      <c r="I26" s="334"/>
      <c r="J26" s="334"/>
      <c r="K26" s="334"/>
    </row>
    <row r="27" spans="1:11" s="11" customFormat="1" ht="20.100000000000001" customHeight="1" thickBot="1">
      <c r="A27" s="22"/>
      <c r="B27" s="22" t="s">
        <v>189</v>
      </c>
      <c r="C27" s="22"/>
      <c r="D27" s="22"/>
      <c r="E27" s="22"/>
      <c r="F27" s="334"/>
      <c r="G27" s="334"/>
      <c r="H27" s="334"/>
      <c r="I27" s="334"/>
    </row>
    <row r="28" spans="1:11" s="11" customFormat="1" ht="108" customHeight="1" thickBot="1">
      <c r="A28" s="327" t="s">
        <v>190</v>
      </c>
      <c r="B28" s="276" t="s">
        <v>191</v>
      </c>
      <c r="C28" s="295" t="s">
        <v>206</v>
      </c>
      <c r="D28" s="295" t="s">
        <v>192</v>
      </c>
      <c r="E28" s="295" t="s">
        <v>193</v>
      </c>
      <c r="F28" s="295" t="s">
        <v>194</v>
      </c>
      <c r="G28" s="808" t="s">
        <v>195</v>
      </c>
      <c r="H28" s="295" t="s">
        <v>47</v>
      </c>
      <c r="I28" s="809" t="s">
        <v>196</v>
      </c>
      <c r="J28" s="22"/>
      <c r="K28" s="22"/>
    </row>
    <row r="29" spans="1:11" s="11" customFormat="1" ht="20.100000000000001" customHeight="1">
      <c r="A29" s="22" t="str">
        <f t="shared" ref="A29:B31" si="0">A14</f>
        <v>UPPER LEVEL - BACCALAUREATE</v>
      </c>
      <c r="B29" s="335">
        <f t="shared" si="0"/>
        <v>91.79</v>
      </c>
      <c r="C29" s="928">
        <v>275</v>
      </c>
      <c r="D29" s="928">
        <v>18.12</v>
      </c>
      <c r="E29" s="515">
        <f>D14</f>
        <v>6.55</v>
      </c>
      <c r="F29" s="928">
        <v>34.06</v>
      </c>
      <c r="G29" s="928">
        <v>16.559999999999999</v>
      </c>
      <c r="H29" s="336">
        <f>SUM(B29:G29)</f>
        <v>442.08000000000004</v>
      </c>
      <c r="I29" s="349">
        <f>H29*30</f>
        <v>13262.400000000001</v>
      </c>
    </row>
    <row r="30" spans="1:11" s="11" customFormat="1" ht="20.100000000000001" customHeight="1">
      <c r="A30" s="22" t="str">
        <f t="shared" si="0"/>
        <v>LOWER LEVEL - CREDIT (A &amp; P, PSV, DEVELOPMENTAL EDUCATION AND EPI)</v>
      </c>
      <c r="B30" s="653">
        <f t="shared" si="0"/>
        <v>78.84</v>
      </c>
      <c r="C30" s="932">
        <v>236.69</v>
      </c>
      <c r="D30" s="932">
        <v>15.78</v>
      </c>
      <c r="E30" s="654">
        <f>D15</f>
        <v>7.88</v>
      </c>
      <c r="F30" s="932">
        <v>31.55</v>
      </c>
      <c r="G30" s="932">
        <v>15.78</v>
      </c>
      <c r="H30" s="649">
        <f>SUM(B30:G30)</f>
        <v>386.51999999999992</v>
      </c>
      <c r="I30" s="328">
        <f>H30*30</f>
        <v>11595.599999999999</v>
      </c>
    </row>
    <row r="31" spans="1:11" s="11" customFormat="1" ht="20.100000000000001" customHeight="1">
      <c r="A31" s="22" t="str">
        <f t="shared" si="0"/>
        <v>CAREER CERTIFICATE AND APPLIED TECHNOLOGY DIPLOMA</v>
      </c>
      <c r="B31" s="1106">
        <f t="shared" si="0"/>
        <v>0</v>
      </c>
      <c r="C31" s="929">
        <v>0</v>
      </c>
      <c r="D31" s="929">
        <v>0</v>
      </c>
      <c r="E31" s="1107"/>
      <c r="F31" s="929">
        <v>0</v>
      </c>
      <c r="G31" s="929">
        <v>0</v>
      </c>
      <c r="H31" s="1108">
        <f>SUM(B31:G31)</f>
        <v>0</v>
      </c>
      <c r="I31" s="1108">
        <f>H31*30</f>
        <v>0</v>
      </c>
    </row>
    <row r="32" spans="1:11" s="11" customFormat="1" ht="20.100000000000001" customHeight="1" thickBot="1">
      <c r="A32" s="22" t="s">
        <v>705</v>
      </c>
      <c r="B32" s="1123">
        <v>0</v>
      </c>
      <c r="C32" s="1121">
        <v>0</v>
      </c>
      <c r="D32" s="1121">
        <v>0</v>
      </c>
      <c r="E32" s="1122"/>
      <c r="F32" s="1121">
        <v>0</v>
      </c>
      <c r="G32" s="1121">
        <v>0</v>
      </c>
      <c r="H32" s="1108">
        <f>SUM(B32:G32)</f>
        <v>0</v>
      </c>
      <c r="I32" s="1108">
        <f>H32*30</f>
        <v>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190</v>
      </c>
      <c r="B34" s="295" t="s">
        <v>199</v>
      </c>
      <c r="C34" s="283"/>
      <c r="D34" s="283"/>
      <c r="E34" s="283"/>
      <c r="F34" s="283"/>
      <c r="G34" s="283"/>
      <c r="H34" s="295" t="s">
        <v>47</v>
      </c>
      <c r="I34" s="809" t="s">
        <v>200</v>
      </c>
    </row>
    <row r="35" spans="1:11" s="11" customFormat="1" ht="20.100000000000001" customHeight="1">
      <c r="A35" s="22" t="str">
        <f>A19</f>
        <v>VOCATIONAL PREPARATORY (PER TERM)</v>
      </c>
      <c r="B35" s="339">
        <f>B19</f>
        <v>0</v>
      </c>
      <c r="C35" s="356"/>
      <c r="D35" s="356"/>
      <c r="E35" s="356"/>
      <c r="F35" s="356"/>
      <c r="G35" s="356"/>
      <c r="H35" s="655">
        <f>B35</f>
        <v>0</v>
      </c>
      <c r="I35" s="350">
        <f>H35*3</f>
        <v>0</v>
      </c>
      <c r="J35" s="334"/>
      <c r="K35" s="334"/>
    </row>
    <row r="36" spans="1:11" s="11" customFormat="1" ht="20.100000000000001" customHeight="1" thickBot="1">
      <c r="A36" s="22" t="str">
        <f>A20</f>
        <v>ADULT GENERAL EDUCATION AND SECONDARY (PER TERM)</v>
      </c>
      <c r="B36" s="656">
        <f>B20</f>
        <v>0</v>
      </c>
      <c r="C36" s="310"/>
      <c r="D36" s="310"/>
      <c r="E36" s="310"/>
      <c r="F36" s="310"/>
      <c r="G36" s="310"/>
      <c r="H36" s="340">
        <f>B36</f>
        <v>0</v>
      </c>
      <c r="I36" s="657">
        <f>H36*3</f>
        <v>0</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0</v>
      </c>
      <c r="C38" s="514"/>
      <c r="D38" s="514"/>
      <c r="E38" s="514"/>
      <c r="F38" s="514"/>
      <c r="G38" s="514"/>
      <c r="H38" s="336">
        <f>B38</f>
        <v>0</v>
      </c>
      <c r="I38" s="349">
        <f>H38*2</f>
        <v>0</v>
      </c>
    </row>
    <row r="39" spans="1:11" s="11" customFormat="1" ht="20.100000000000001" customHeight="1" thickBot="1">
      <c r="A39" s="22" t="str">
        <f>A23</f>
        <v>ADULT GENERAL EDUCATION AND SECONDARY (PER HALF YEAR)</v>
      </c>
      <c r="B39" s="656">
        <f>B23</f>
        <v>0</v>
      </c>
      <c r="C39" s="310"/>
      <c r="D39" s="310"/>
      <c r="E39" s="310"/>
      <c r="F39" s="310"/>
      <c r="G39" s="310"/>
      <c r="H39" s="658">
        <f>B39</f>
        <v>0</v>
      </c>
      <c r="I39" s="351">
        <f>H39*2</f>
        <v>0</v>
      </c>
    </row>
    <row r="40" spans="1:11" s="11" customFormat="1" ht="20.100000000000001" customHeight="1">
      <c r="A40" s="22"/>
      <c r="B40" s="341"/>
    </row>
    <row r="41" spans="1:11" ht="26.25" customHeight="1">
      <c r="A41" s="173" t="s">
        <v>704</v>
      </c>
      <c r="B41" s="882"/>
      <c r="C41" s="882"/>
      <c r="D41" s="882"/>
      <c r="E41" s="882"/>
      <c r="F41" s="882"/>
      <c r="G41" s="882"/>
      <c r="H41" s="882"/>
      <c r="I41" s="882"/>
      <c r="J41" s="169"/>
    </row>
    <row r="42" spans="1:11" ht="20.25" customHeight="1">
      <c r="A42" s="11" t="s">
        <v>742</v>
      </c>
      <c r="B42" s="171"/>
      <c r="C42" s="171"/>
      <c r="D42" s="171"/>
      <c r="E42" s="171"/>
      <c r="F42" s="171"/>
      <c r="G42" s="171"/>
      <c r="H42" s="171"/>
      <c r="I42" s="171"/>
    </row>
    <row r="43" spans="1:11" ht="20.25" customHeight="1">
      <c r="A43" s="11" t="s">
        <v>706</v>
      </c>
      <c r="B43" s="171"/>
      <c r="C43" s="171"/>
      <c r="D43" s="171"/>
      <c r="E43" s="171"/>
      <c r="F43" s="171"/>
      <c r="G43" s="171"/>
      <c r="H43" s="171"/>
      <c r="I43" s="171"/>
    </row>
    <row r="44" spans="1:11" ht="20.25" customHeight="1">
      <c r="A44" s="11" t="s">
        <v>710</v>
      </c>
      <c r="B44" s="171"/>
      <c r="C44" s="171"/>
      <c r="D44" s="171"/>
      <c r="E44" s="171"/>
      <c r="F44" s="171"/>
      <c r="G44" s="171"/>
      <c r="H44" s="171"/>
      <c r="I44" s="171"/>
    </row>
    <row r="45" spans="1:11" ht="20.25" customHeight="1">
      <c r="A45" s="11" t="s">
        <v>707</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zoomScale="70" zoomScaleNormal="70" zoomScaleSheetLayoutView="50" zoomScalePageLayoutView="50" workbookViewId="0">
      <selection activeCell="A56" sqref="A56"/>
    </sheetView>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207</v>
      </c>
    </row>
    <row r="2" spans="1:9" ht="20.100000000000001" customHeight="1">
      <c r="A2" s="884" t="s">
        <v>11</v>
      </c>
      <c r="B2" s="884"/>
      <c r="C2" s="884"/>
      <c r="D2" s="884"/>
      <c r="E2" s="884"/>
      <c r="F2" s="884"/>
      <c r="G2" s="884"/>
      <c r="H2" s="807"/>
      <c r="I2" s="22"/>
    </row>
    <row r="3" spans="1:9" ht="20.100000000000001" customHeight="1">
      <c r="A3" s="884" t="s">
        <v>743</v>
      </c>
      <c r="B3" s="884"/>
      <c r="C3" s="884"/>
      <c r="D3" s="884"/>
      <c r="E3" s="884"/>
      <c r="F3" s="884"/>
      <c r="G3" s="884"/>
      <c r="H3" s="807"/>
    </row>
    <row r="4" spans="1:9" ht="20.100000000000001" customHeight="1">
      <c r="A4" s="320"/>
      <c r="B4" s="320"/>
      <c r="C4" s="320"/>
      <c r="D4" s="320"/>
      <c r="E4" s="320"/>
      <c r="F4" s="320"/>
      <c r="G4" s="320"/>
      <c r="H4" s="275"/>
    </row>
    <row r="5" spans="1:9" ht="27.6" customHeight="1" thickBot="1">
      <c r="A5" s="884" t="s">
        <v>208</v>
      </c>
      <c r="B5" s="885" t="str">
        <f>'CHECK SHEET'!D7</f>
        <v>State College of Florida, Manatee-Sarasota</v>
      </c>
      <c r="C5" s="885"/>
      <c r="D5" s="885"/>
      <c r="E5" s="885"/>
      <c r="F5" s="885"/>
      <c r="G5" s="320"/>
      <c r="H5" s="883"/>
    </row>
    <row r="6" spans="1:9" ht="20.100000000000001" customHeight="1">
      <c r="A6" s="320"/>
      <c r="B6" s="320"/>
      <c r="C6" s="320"/>
      <c r="D6" s="320"/>
      <c r="E6" s="320"/>
      <c r="F6" s="320"/>
      <c r="G6" s="320"/>
      <c r="H6" s="883"/>
    </row>
    <row r="7" spans="1:9" ht="20.100000000000001" customHeight="1">
      <c r="A7" s="804" t="s">
        <v>209</v>
      </c>
      <c r="B7" s="804"/>
      <c r="C7" s="804"/>
      <c r="D7" s="804"/>
      <c r="E7" s="804"/>
      <c r="F7" s="804"/>
      <c r="G7" s="804"/>
      <c r="H7" s="804"/>
    </row>
    <row r="8" spans="1:9" ht="20.100000000000001" customHeight="1" thickBot="1">
      <c r="C8" s="22"/>
    </row>
    <row r="9" spans="1:9" ht="85.5" customHeight="1" thickBot="1">
      <c r="A9" s="276" t="s">
        <v>210</v>
      </c>
      <c r="B9" s="276" t="s">
        <v>211</v>
      </c>
      <c r="C9" s="284" t="s">
        <v>212</v>
      </c>
      <c r="D9" s="284" t="s">
        <v>213</v>
      </c>
      <c r="E9" s="284" t="s">
        <v>214</v>
      </c>
      <c r="F9" s="284" t="s">
        <v>64</v>
      </c>
      <c r="G9" s="284" t="s">
        <v>215</v>
      </c>
      <c r="H9" s="285" t="s">
        <v>216</v>
      </c>
      <c r="I9" s="13"/>
    </row>
    <row r="10" spans="1:9" ht="20.100000000000001" customHeight="1">
      <c r="A10" s="516" t="s">
        <v>191</v>
      </c>
      <c r="B10" s="516" t="s">
        <v>217</v>
      </c>
      <c r="C10" s="517">
        <v>40101</v>
      </c>
      <c r="D10" s="659">
        <f>18344+D19</f>
        <v>18549</v>
      </c>
      <c r="E10" s="518">
        <v>0</v>
      </c>
      <c r="F10" s="519">
        <f t="shared" ref="F10:F15" si="0">+D10-E10</f>
        <v>18549</v>
      </c>
      <c r="G10" s="519">
        <f>'EXHIBIT B'!B14</f>
        <v>91.79</v>
      </c>
      <c r="H10" s="1156">
        <f t="shared" ref="H10:H15" si="1">ROUND(+F10*G10,0)</f>
        <v>1702613</v>
      </c>
    </row>
    <row r="11" spans="1:9" ht="20.100000000000001" customHeight="1">
      <c r="A11" s="660" t="s">
        <v>191</v>
      </c>
      <c r="B11" s="660" t="s">
        <v>123</v>
      </c>
      <c r="C11" s="661" t="s">
        <v>218</v>
      </c>
      <c r="D11" s="659">
        <f>110858+D20</f>
        <v>115001</v>
      </c>
      <c r="E11" s="659">
        <v>0</v>
      </c>
      <c r="F11" s="662">
        <f t="shared" si="0"/>
        <v>115001</v>
      </c>
      <c r="G11" s="662">
        <f>+'EXHIBIT B'!B15</f>
        <v>78.84</v>
      </c>
      <c r="H11" s="663">
        <f t="shared" si="1"/>
        <v>9066679</v>
      </c>
    </row>
    <row r="12" spans="1:9" ht="20.100000000000001" customHeight="1">
      <c r="A12" s="660" t="s">
        <v>191</v>
      </c>
      <c r="B12" s="660" t="s">
        <v>124</v>
      </c>
      <c r="C12" s="661" t="s">
        <v>219</v>
      </c>
      <c r="D12" s="659">
        <f>50052+D21</f>
        <v>52629</v>
      </c>
      <c r="E12" s="659">
        <v>0</v>
      </c>
      <c r="F12" s="662">
        <f t="shared" si="0"/>
        <v>52629</v>
      </c>
      <c r="G12" s="662">
        <f>+'EXHIBIT B'!B15</f>
        <v>78.84</v>
      </c>
      <c r="H12" s="663">
        <f t="shared" si="1"/>
        <v>4149270</v>
      </c>
    </row>
    <row r="13" spans="1:9" ht="20.100000000000001" customHeight="1">
      <c r="A13" s="660" t="s">
        <v>191</v>
      </c>
      <c r="B13" s="660" t="s">
        <v>74</v>
      </c>
      <c r="C13" s="661" t="s">
        <v>220</v>
      </c>
      <c r="D13" s="664">
        <v>0</v>
      </c>
      <c r="E13" s="664">
        <v>0</v>
      </c>
      <c r="F13" s="662">
        <f t="shared" si="0"/>
        <v>0</v>
      </c>
      <c r="G13" s="662">
        <f>+'EXHIBIT B'!B16</f>
        <v>0</v>
      </c>
      <c r="H13" s="663">
        <f t="shared" si="1"/>
        <v>0</v>
      </c>
    </row>
    <row r="14" spans="1:9" ht="20.100000000000001" customHeight="1">
      <c r="A14" s="660" t="s">
        <v>191</v>
      </c>
      <c r="B14" s="660" t="s">
        <v>125</v>
      </c>
      <c r="C14" s="661" t="s">
        <v>221</v>
      </c>
      <c r="D14" s="659">
        <f>4597+D23</f>
        <v>4986</v>
      </c>
      <c r="E14" s="659">
        <v>0</v>
      </c>
      <c r="F14" s="662">
        <f t="shared" si="0"/>
        <v>4986</v>
      </c>
      <c r="G14" s="662">
        <f>+'EXHIBIT B'!B15</f>
        <v>78.84</v>
      </c>
      <c r="H14" s="663">
        <f t="shared" si="1"/>
        <v>393096</v>
      </c>
    </row>
    <row r="15" spans="1:9" ht="20.100000000000001" customHeight="1" thickBot="1">
      <c r="A15" s="665" t="s">
        <v>191</v>
      </c>
      <c r="B15" s="665" t="s">
        <v>126</v>
      </c>
      <c r="C15" s="666">
        <v>40160</v>
      </c>
      <c r="D15" s="667">
        <v>208</v>
      </c>
      <c r="E15" s="667">
        <v>0</v>
      </c>
      <c r="F15" s="668">
        <f t="shared" si="0"/>
        <v>208</v>
      </c>
      <c r="G15" s="668">
        <f>+'EXHIBIT B'!B15</f>
        <v>78.84</v>
      </c>
      <c r="H15" s="669">
        <f t="shared" si="1"/>
        <v>16399</v>
      </c>
    </row>
    <row r="16" spans="1:9" ht="24.95" customHeight="1" thickBot="1">
      <c r="A16" s="286"/>
      <c r="B16" s="286"/>
      <c r="C16" s="286"/>
      <c r="D16" s="287"/>
      <c r="E16" s="287"/>
      <c r="F16" s="288"/>
      <c r="G16" s="288"/>
      <c r="H16" s="289"/>
    </row>
    <row r="17" spans="1:9" ht="24.95" customHeight="1" thickBot="1">
      <c r="A17" s="290"/>
      <c r="B17" s="291" t="s">
        <v>222</v>
      </c>
      <c r="C17" s="291"/>
      <c r="D17" s="292">
        <f>SUM(D10:D15)</f>
        <v>191373</v>
      </c>
      <c r="E17" s="292">
        <f>SUM(E10:E15)</f>
        <v>0</v>
      </c>
      <c r="F17" s="293">
        <f>SUM(F10:F15)</f>
        <v>191373</v>
      </c>
      <c r="G17" s="293"/>
      <c r="H17" s="294">
        <f>SUM(H10:H15)</f>
        <v>15328057</v>
      </c>
    </row>
    <row r="18" spans="1:9" ht="88.35" customHeight="1" thickBot="1">
      <c r="A18" s="295" t="s">
        <v>223</v>
      </c>
      <c r="B18" s="276" t="s">
        <v>211</v>
      </c>
      <c r="C18" s="284" t="s">
        <v>212</v>
      </c>
      <c r="D18" s="295" t="s">
        <v>224</v>
      </c>
      <c r="E18" s="284" t="s">
        <v>215</v>
      </c>
      <c r="F18" s="285" t="s">
        <v>216</v>
      </c>
    </row>
    <row r="19" spans="1:9" ht="24.95" customHeight="1">
      <c r="A19" s="605" t="s">
        <v>206</v>
      </c>
      <c r="B19" s="605" t="s">
        <v>217</v>
      </c>
      <c r="C19" s="670">
        <v>40301</v>
      </c>
      <c r="D19" s="933">
        <v>205</v>
      </c>
      <c r="E19" s="671">
        <f>'EXHIBIT B'!C29</f>
        <v>275</v>
      </c>
      <c r="F19" s="1155">
        <f t="shared" ref="F19:F25" si="2">ROUND(+D19*E19,0)</f>
        <v>56375</v>
      </c>
      <c r="G19" s="296"/>
      <c r="H19" s="296"/>
    </row>
    <row r="20" spans="1:9" ht="20.100000000000001" customHeight="1">
      <c r="A20" s="611" t="s">
        <v>206</v>
      </c>
      <c r="B20" s="611" t="s">
        <v>123</v>
      </c>
      <c r="C20" s="672" t="s">
        <v>225</v>
      </c>
      <c r="D20" s="679">
        <v>4143</v>
      </c>
      <c r="E20" s="673">
        <f>+'EXHIBIT B'!C30</f>
        <v>236.69</v>
      </c>
      <c r="F20" s="674">
        <f t="shared" si="2"/>
        <v>980607</v>
      </c>
      <c r="G20" s="42"/>
      <c r="H20" s="42"/>
    </row>
    <row r="21" spans="1:9" ht="20.100000000000001" customHeight="1">
      <c r="A21" s="611" t="s">
        <v>206</v>
      </c>
      <c r="B21" s="611" t="s">
        <v>124</v>
      </c>
      <c r="C21" s="672" t="s">
        <v>226</v>
      </c>
      <c r="D21" s="679">
        <v>2577</v>
      </c>
      <c r="E21" s="673">
        <f>+'EXHIBIT B'!C30</f>
        <v>236.69</v>
      </c>
      <c r="F21" s="674">
        <f t="shared" si="2"/>
        <v>609950</v>
      </c>
      <c r="G21" s="42"/>
      <c r="H21" s="42"/>
    </row>
    <row r="22" spans="1:9" ht="20.100000000000001" customHeight="1">
      <c r="A22" s="611" t="s">
        <v>206</v>
      </c>
      <c r="B22" s="611" t="s">
        <v>74</v>
      </c>
      <c r="C22" s="672" t="s">
        <v>227</v>
      </c>
      <c r="D22" s="679">
        <v>0</v>
      </c>
      <c r="E22" s="673">
        <f>+'EXHIBIT B'!C31</f>
        <v>0</v>
      </c>
      <c r="F22" s="674">
        <f t="shared" si="2"/>
        <v>0</v>
      </c>
      <c r="G22" s="42"/>
      <c r="H22" s="42"/>
    </row>
    <row r="23" spans="1:9" ht="20.100000000000001" customHeight="1">
      <c r="A23" s="611" t="s">
        <v>206</v>
      </c>
      <c r="B23" s="611" t="s">
        <v>125</v>
      </c>
      <c r="C23" s="672" t="s">
        <v>228</v>
      </c>
      <c r="D23" s="679">
        <v>389</v>
      </c>
      <c r="E23" s="673">
        <f>+'EXHIBIT B'!C30</f>
        <v>236.69</v>
      </c>
      <c r="F23" s="674">
        <f t="shared" si="2"/>
        <v>92072</v>
      </c>
      <c r="G23" s="42"/>
      <c r="H23" s="42"/>
    </row>
    <row r="24" spans="1:9" ht="20.100000000000001" customHeight="1">
      <c r="A24" s="1017" t="s">
        <v>206</v>
      </c>
      <c r="B24" s="1017" t="s">
        <v>721</v>
      </c>
      <c r="C24" s="1111">
        <v>40360</v>
      </c>
      <c r="D24" s="1112">
        <v>0</v>
      </c>
      <c r="E24" s="1113">
        <f>+'EXHIBIT B'!C30</f>
        <v>236.69</v>
      </c>
      <c r="F24" s="1114">
        <f t="shared" si="2"/>
        <v>0</v>
      </c>
      <c r="G24" s="42"/>
      <c r="H24" s="42"/>
    </row>
    <row r="25" spans="1:9" ht="20.100000000000001" customHeight="1" thickBot="1">
      <c r="A25" s="373" t="s">
        <v>206</v>
      </c>
      <c r="B25" s="373" t="s">
        <v>702</v>
      </c>
      <c r="C25" s="1109" t="s">
        <v>703</v>
      </c>
      <c r="D25" s="1110">
        <v>0</v>
      </c>
      <c r="E25" s="1113">
        <f>+'EXHIBIT B'!H32</f>
        <v>0</v>
      </c>
      <c r="F25" s="1114">
        <f t="shared" si="2"/>
        <v>0</v>
      </c>
      <c r="G25" s="42"/>
      <c r="H25" s="42"/>
    </row>
    <row r="26" spans="1:9" ht="20.100000000000001" customHeight="1" thickBot="1">
      <c r="A26" s="297"/>
      <c r="B26" s="297"/>
      <c r="C26" s="297"/>
      <c r="D26" s="297"/>
      <c r="E26" s="298"/>
      <c r="F26" s="299"/>
      <c r="G26" s="42"/>
      <c r="H26" s="42"/>
    </row>
    <row r="27" spans="1:9" ht="20.100000000000001" customHeight="1" thickBot="1">
      <c r="A27" s="675"/>
      <c r="B27" s="675" t="s">
        <v>222</v>
      </c>
      <c r="C27" s="675"/>
      <c r="D27" s="676">
        <f>SUM(D19:D25)</f>
        <v>7314</v>
      </c>
      <c r="E27" s="677"/>
      <c r="F27" s="678">
        <f>SUM(F19:F25)</f>
        <v>1739004</v>
      </c>
      <c r="G27" s="300"/>
      <c r="H27" s="300"/>
    </row>
    <row r="28" spans="1:9" ht="20.100000000000001" customHeight="1" thickBot="1">
      <c r="A28" s="301" t="s">
        <v>229</v>
      </c>
      <c r="B28" s="301"/>
      <c r="C28" s="301"/>
      <c r="D28" s="301"/>
      <c r="E28" s="301"/>
      <c r="F28" s="302"/>
      <c r="G28" s="520"/>
      <c r="H28" s="303">
        <f>H17+F27</f>
        <v>17067061</v>
      </c>
    </row>
    <row r="29" spans="1:9" ht="24.95" customHeight="1">
      <c r="I29" s="164"/>
    </row>
    <row r="30" spans="1:9" ht="24.95" customHeight="1">
      <c r="A30" s="804" t="s">
        <v>230</v>
      </c>
      <c r="B30" s="804"/>
      <c r="C30" s="804"/>
      <c r="D30" s="804"/>
      <c r="E30" s="804"/>
      <c r="F30" s="804"/>
      <c r="G30" s="804"/>
      <c r="H30" s="804"/>
      <c r="I30" s="164"/>
    </row>
    <row r="31" spans="1:9" ht="24.95" customHeight="1" thickBot="1">
      <c r="I31" s="164"/>
    </row>
    <row r="32" spans="1:9" ht="88.35" customHeight="1" thickBot="1">
      <c r="A32" s="295" t="s">
        <v>231</v>
      </c>
      <c r="B32" s="304" t="s">
        <v>211</v>
      </c>
      <c r="C32" s="295" t="s">
        <v>212</v>
      </c>
      <c r="D32" s="295" t="s">
        <v>232</v>
      </c>
      <c r="E32" s="295" t="s">
        <v>233</v>
      </c>
      <c r="F32" s="295" t="s">
        <v>64</v>
      </c>
      <c r="G32" s="295" t="s">
        <v>234</v>
      </c>
      <c r="H32" s="809" t="s">
        <v>216</v>
      </c>
      <c r="I32" s="164"/>
    </row>
    <row r="33" spans="1:8" ht="20.100000000000001" customHeight="1">
      <c r="A33" s="521" t="s">
        <v>235</v>
      </c>
      <c r="B33" s="521" t="s">
        <v>236</v>
      </c>
      <c r="C33" s="522" t="s">
        <v>237</v>
      </c>
      <c r="D33" s="523">
        <v>0</v>
      </c>
      <c r="E33" s="523">
        <v>0</v>
      </c>
      <c r="F33" s="524">
        <f>D33-E33</f>
        <v>0</v>
      </c>
      <c r="G33" s="524">
        <f>'EXHIBIT B'!B19</f>
        <v>0</v>
      </c>
      <c r="H33" s="525">
        <f>ROUND(+F33*G33,0)</f>
        <v>0</v>
      </c>
    </row>
    <row r="34" spans="1:8" ht="20.100000000000001" customHeight="1">
      <c r="A34" s="611" t="s">
        <v>235</v>
      </c>
      <c r="B34" s="611" t="s">
        <v>238</v>
      </c>
      <c r="C34" s="672" t="s">
        <v>239</v>
      </c>
      <c r="D34" s="679">
        <v>0</v>
      </c>
      <c r="E34" s="679">
        <v>0</v>
      </c>
      <c r="F34" s="673">
        <f>D34-E34</f>
        <v>0</v>
      </c>
      <c r="G34" s="673">
        <f>'EXHIBIT B'!B20</f>
        <v>0</v>
      </c>
      <c r="H34" s="674">
        <f>ROUND(+F34*G34,0)</f>
        <v>0</v>
      </c>
    </row>
    <row r="35" spans="1:8" ht="20.100000000000001" customHeight="1">
      <c r="A35" s="611" t="s">
        <v>240</v>
      </c>
      <c r="B35" s="611" t="s">
        <v>236</v>
      </c>
      <c r="C35" s="672">
        <v>40180</v>
      </c>
      <c r="D35" s="679">
        <v>0</v>
      </c>
      <c r="E35" s="679">
        <v>0</v>
      </c>
      <c r="F35" s="673">
        <f>D35-E35</f>
        <v>0</v>
      </c>
      <c r="G35" s="673">
        <f>'EXHIBIT B'!B22</f>
        <v>0</v>
      </c>
      <c r="H35" s="674">
        <f>ROUND(+F35*G35,0)</f>
        <v>0</v>
      </c>
    </row>
    <row r="36" spans="1:8" ht="20.100000000000001" customHeight="1" thickBot="1">
      <c r="A36" s="612" t="s">
        <v>240</v>
      </c>
      <c r="B36" s="612" t="s">
        <v>238</v>
      </c>
      <c r="C36" s="680">
        <v>40190</v>
      </c>
      <c r="D36" s="681">
        <v>0</v>
      </c>
      <c r="E36" s="681">
        <v>0</v>
      </c>
      <c r="F36" s="682">
        <f>D36-E36</f>
        <v>0</v>
      </c>
      <c r="G36" s="682">
        <f>'EXHIBIT B'!B23</f>
        <v>0</v>
      </c>
      <c r="H36" s="683">
        <f>ROUND(+F36*G36,0)</f>
        <v>0</v>
      </c>
    </row>
    <row r="37" spans="1:8" ht="20.100000000000001" customHeight="1" thickBot="1">
      <c r="A37" s="305"/>
      <c r="B37" s="280" t="s">
        <v>241</v>
      </c>
      <c r="C37" s="280"/>
      <c r="D37" s="306">
        <f>SUM(D33:D36)</f>
        <v>0</v>
      </c>
      <c r="E37" s="306">
        <f>SUM(E33:E36)</f>
        <v>0</v>
      </c>
      <c r="F37" s="307">
        <f>D37-E37</f>
        <v>0</v>
      </c>
      <c r="G37" s="307"/>
      <c r="H37" s="308">
        <f>SUM(H33:H36)</f>
        <v>0</v>
      </c>
    </row>
    <row r="38" spans="1:8" ht="24.95" customHeight="1" thickBot="1">
      <c r="A38" s="309"/>
      <c r="B38" s="310"/>
      <c r="C38" s="310"/>
      <c r="D38" s="310"/>
      <c r="E38" s="310"/>
      <c r="F38" s="310"/>
    </row>
    <row r="39" spans="1:8" ht="88.35" customHeight="1" thickBot="1">
      <c r="A39" s="311" t="s">
        <v>242</v>
      </c>
      <c r="B39" s="312" t="s">
        <v>211</v>
      </c>
      <c r="C39" s="295" t="s">
        <v>212</v>
      </c>
      <c r="D39" s="313" t="s">
        <v>232</v>
      </c>
      <c r="E39" s="313" t="s">
        <v>234</v>
      </c>
      <c r="F39" s="295" t="s">
        <v>216</v>
      </c>
      <c r="G39" s="13"/>
      <c r="H39" s="13"/>
    </row>
    <row r="40" spans="1:8" ht="20.100000000000001" customHeight="1">
      <c r="A40" s="521" t="s">
        <v>235</v>
      </c>
      <c r="B40" s="521" t="s">
        <v>236</v>
      </c>
      <c r="C40" s="522">
        <v>40380</v>
      </c>
      <c r="D40" s="523">
        <v>0</v>
      </c>
      <c r="E40" s="524">
        <f>'EXHIBIT B'!B35</f>
        <v>0</v>
      </c>
      <c r="F40" s="1153">
        <f>D40*E40</f>
        <v>0</v>
      </c>
    </row>
    <row r="41" spans="1:8" ht="20.100000000000001" customHeight="1">
      <c r="A41" s="611" t="s">
        <v>235</v>
      </c>
      <c r="B41" s="611" t="s">
        <v>238</v>
      </c>
      <c r="C41" s="672">
        <v>40390</v>
      </c>
      <c r="D41" s="679">
        <v>0</v>
      </c>
      <c r="E41" s="673">
        <f>'EXHIBIT B'!B36</f>
        <v>0</v>
      </c>
      <c r="F41" s="674">
        <f>D41*E41</f>
        <v>0</v>
      </c>
    </row>
    <row r="42" spans="1:8" ht="20.100000000000001" customHeight="1">
      <c r="A42" s="611" t="s">
        <v>240</v>
      </c>
      <c r="B42" s="611" t="s">
        <v>236</v>
      </c>
      <c r="C42" s="672" t="s">
        <v>243</v>
      </c>
      <c r="D42" s="679">
        <v>0</v>
      </c>
      <c r="E42" s="673">
        <f>'EXHIBIT B'!B38</f>
        <v>0</v>
      </c>
      <c r="F42" s="674">
        <f>D42*E42</f>
        <v>0</v>
      </c>
    </row>
    <row r="43" spans="1:8" ht="20.100000000000001" customHeight="1" thickBot="1">
      <c r="A43" s="612" t="s">
        <v>240</v>
      </c>
      <c r="B43" s="612" t="s">
        <v>238</v>
      </c>
      <c r="C43" s="680" t="s">
        <v>244</v>
      </c>
      <c r="D43" s="681">
        <v>0</v>
      </c>
      <c r="E43" s="682">
        <f>'EXHIBIT B'!B39</f>
        <v>0</v>
      </c>
      <c r="F43" s="683">
        <f>D43*E43</f>
        <v>0</v>
      </c>
    </row>
    <row r="44" spans="1:8" ht="20.100000000000001" customHeight="1" thickBot="1">
      <c r="A44" s="314"/>
      <c r="B44" s="301" t="s">
        <v>222</v>
      </c>
      <c r="C44" s="301"/>
      <c r="D44" s="316">
        <f>SUM(D40:D43)</f>
        <v>0</v>
      </c>
      <c r="E44" s="315"/>
      <c r="F44" s="316">
        <f>SUM(F40:F43)</f>
        <v>0</v>
      </c>
    </row>
    <row r="45" spans="1:8" ht="20.100000000000001" customHeight="1" thickBot="1">
      <c r="A45" s="317" t="s">
        <v>245</v>
      </c>
      <c r="B45" s="301"/>
      <c r="C45" s="301"/>
      <c r="D45" s="301"/>
      <c r="E45" s="301"/>
      <c r="F45" s="301"/>
      <c r="G45" s="280"/>
      <c r="H45" s="526">
        <f>H37+F44</f>
        <v>0</v>
      </c>
    </row>
    <row r="46" spans="1:8" ht="20.100000000000001" customHeight="1" thickBot="1">
      <c r="A46" s="297"/>
      <c r="B46" s="297"/>
      <c r="C46" s="297"/>
      <c r="D46" s="297"/>
      <c r="E46" s="297"/>
      <c r="F46" s="297"/>
      <c r="G46" s="297"/>
      <c r="H46" s="298"/>
    </row>
    <row r="47" spans="1:8" ht="20.100000000000001" customHeight="1" thickBot="1">
      <c r="A47" s="301" t="s">
        <v>246</v>
      </c>
      <c r="B47" s="301"/>
      <c r="C47" s="301"/>
      <c r="D47" s="301"/>
      <c r="E47" s="301"/>
      <c r="F47" s="301"/>
      <c r="G47" s="318"/>
      <c r="H47" s="303">
        <f>H28+H45</f>
        <v>17067061</v>
      </c>
    </row>
    <row r="48" spans="1:8" ht="24.75" customHeight="1">
      <c r="A48" s="810"/>
      <c r="B48" s="810"/>
      <c r="C48" s="810"/>
      <c r="D48" s="810"/>
      <c r="E48" s="810"/>
      <c r="F48" s="810"/>
      <c r="G48" s="319"/>
      <c r="H48" s="319"/>
    </row>
    <row r="49" spans="1:10" ht="24.95" customHeight="1">
      <c r="A49" s="22" t="s">
        <v>247</v>
      </c>
      <c r="H49" s="13"/>
    </row>
    <row r="50" spans="1:10" ht="24.95" customHeight="1">
      <c r="A50" s="22"/>
    </row>
    <row r="51" spans="1:10" ht="43.35" customHeight="1" thickBot="1">
      <c r="A51" s="1063" t="s">
        <v>695</v>
      </c>
      <c r="B51" s="1063"/>
      <c r="C51" s="1064"/>
      <c r="D51" s="1064"/>
      <c r="E51" s="1064"/>
      <c r="F51" s="1064"/>
    </row>
    <row r="52" spans="1:10" ht="44.45" customHeight="1" thickBot="1">
      <c r="A52" s="276" t="s">
        <v>248</v>
      </c>
      <c r="B52" s="276" t="s">
        <v>249</v>
      </c>
      <c r="C52" s="886" t="s">
        <v>250</v>
      </c>
      <c r="D52" s="887"/>
      <c r="E52" s="886" t="s">
        <v>251</v>
      </c>
      <c r="F52" s="887"/>
    </row>
    <row r="53" spans="1:10" ht="24.95" customHeight="1" thickBot="1">
      <c r="A53" s="277"/>
      <c r="B53" s="278"/>
      <c r="C53" s="527"/>
      <c r="D53" s="528"/>
      <c r="E53" s="527"/>
      <c r="F53" s="528"/>
    </row>
    <row r="54" spans="1:10" ht="24.95" customHeight="1" thickBot="1">
      <c r="A54" s="283" t="s">
        <v>138</v>
      </c>
      <c r="B54" s="279"/>
      <c r="C54" s="529"/>
      <c r="D54" s="530"/>
      <c r="E54" s="529"/>
      <c r="F54" s="530"/>
    </row>
    <row r="55" spans="1:10" ht="24.95" customHeight="1">
      <c r="A55" s="684" t="s">
        <v>795</v>
      </c>
      <c r="B55" s="679">
        <v>1530501</v>
      </c>
      <c r="C55" s="1092" t="s">
        <v>791</v>
      </c>
      <c r="D55" s="1093"/>
      <c r="E55" s="934" t="s">
        <v>792</v>
      </c>
      <c r="F55" s="935"/>
    </row>
    <row r="56" spans="1:10" ht="24.95" customHeight="1">
      <c r="A56" s="685"/>
      <c r="B56" s="679">
        <v>0</v>
      </c>
      <c r="C56" s="936"/>
      <c r="D56" s="937"/>
      <c r="E56" s="936"/>
      <c r="F56" s="937"/>
      <c r="J56" s="86"/>
    </row>
    <row r="57" spans="1:10" ht="24.95" customHeight="1">
      <c r="A57" s="685"/>
      <c r="B57" s="679">
        <v>0</v>
      </c>
      <c r="C57" s="936"/>
      <c r="D57" s="937"/>
      <c r="E57" s="936"/>
      <c r="F57" s="937"/>
    </row>
    <row r="58" spans="1:10" ht="24.95" customHeight="1">
      <c r="A58" s="685"/>
      <c r="B58" s="679">
        <v>0</v>
      </c>
      <c r="C58" s="936"/>
      <c r="D58" s="937"/>
      <c r="E58" s="936"/>
      <c r="F58" s="937"/>
    </row>
    <row r="59" spans="1:10" ht="24.95" customHeight="1">
      <c r="A59" s="685"/>
      <c r="B59" s="679">
        <v>0</v>
      </c>
      <c r="C59" s="936"/>
      <c r="D59" s="937"/>
      <c r="E59" s="936"/>
      <c r="F59" s="937"/>
    </row>
    <row r="60" spans="1:10" ht="24.95" customHeight="1" thickBot="1">
      <c r="A60" s="569"/>
      <c r="B60" s="570">
        <v>0</v>
      </c>
      <c r="C60" s="938"/>
      <c r="D60" s="939"/>
      <c r="E60" s="940"/>
      <c r="F60" s="941"/>
    </row>
    <row r="61" spans="1:10" ht="24.95" customHeight="1" thickBot="1">
      <c r="A61" s="280" t="s">
        <v>252</v>
      </c>
      <c r="B61" s="281">
        <f>SUM(B55:B60)</f>
        <v>1530501</v>
      </c>
      <c r="C61" s="942"/>
      <c r="D61" s="943"/>
      <c r="E61" s="942"/>
      <c r="F61" s="943"/>
    </row>
    <row r="62" spans="1:10" ht="24.95" customHeight="1" thickBot="1">
      <c r="A62" s="282"/>
      <c r="B62" s="282"/>
      <c r="C62" s="531"/>
      <c r="D62" s="532"/>
      <c r="E62" s="531"/>
      <c r="F62" s="532"/>
    </row>
    <row r="63" spans="1:10" ht="24.95" customHeight="1" thickBot="1">
      <c r="A63" s="283" t="s">
        <v>135</v>
      </c>
      <c r="B63" s="279"/>
      <c r="C63" s="529"/>
      <c r="D63" s="530"/>
      <c r="E63" s="529"/>
      <c r="F63" s="530"/>
    </row>
    <row r="64" spans="1:10" ht="24.95" customHeight="1">
      <c r="A64" s="684" t="s">
        <v>794</v>
      </c>
      <c r="B64" s="1154">
        <v>436297</v>
      </c>
      <c r="C64" s="934" t="s">
        <v>793</v>
      </c>
      <c r="D64" s="935"/>
      <c r="E64" s="934" t="s">
        <v>791</v>
      </c>
      <c r="F64" s="935"/>
    </row>
    <row r="65" spans="1:6" ht="24.95" customHeight="1">
      <c r="A65" s="685"/>
      <c r="B65" s="679">
        <v>0</v>
      </c>
      <c r="C65" s="936"/>
      <c r="D65" s="937"/>
      <c r="E65" s="936"/>
      <c r="F65" s="937"/>
    </row>
    <row r="66" spans="1:6" ht="24.95" customHeight="1">
      <c r="A66" s="685"/>
      <c r="B66" s="679">
        <v>0</v>
      </c>
      <c r="C66" s="936"/>
      <c r="D66" s="937"/>
      <c r="E66" s="936"/>
      <c r="F66" s="937"/>
    </row>
    <row r="67" spans="1:6" ht="24.95" customHeight="1">
      <c r="A67" s="685"/>
      <c r="B67" s="679">
        <v>0</v>
      </c>
      <c r="C67" s="936"/>
      <c r="D67" s="937"/>
      <c r="E67" s="936"/>
      <c r="F67" s="937"/>
    </row>
    <row r="68" spans="1:6" ht="24.95" customHeight="1">
      <c r="A68" s="685"/>
      <c r="B68" s="679">
        <v>0</v>
      </c>
      <c r="C68" s="936"/>
      <c r="D68" s="937"/>
      <c r="E68" s="936"/>
      <c r="F68" s="937"/>
    </row>
    <row r="69" spans="1:6" ht="24.95" customHeight="1" thickBot="1">
      <c r="A69" s="569"/>
      <c r="B69" s="570">
        <v>0</v>
      </c>
      <c r="C69" s="940"/>
      <c r="D69" s="941"/>
      <c r="E69" s="940"/>
      <c r="F69" s="941"/>
    </row>
    <row r="70" spans="1:6" ht="24.95" customHeight="1" thickBot="1">
      <c r="A70" s="280" t="s">
        <v>253</v>
      </c>
      <c r="B70" s="281">
        <f>SUM(B64:B69)</f>
        <v>436297</v>
      </c>
      <c r="C70" s="944"/>
      <c r="D70" s="945"/>
      <c r="E70" s="944"/>
      <c r="F70" s="945"/>
    </row>
    <row r="71" spans="1:6" ht="24.95" customHeight="1" thickBot="1">
      <c r="A71" s="280" t="s">
        <v>254</v>
      </c>
      <c r="B71" s="281">
        <f>+B70+B61</f>
        <v>1966798</v>
      </c>
      <c r="C71" s="944"/>
      <c r="D71" s="945"/>
      <c r="E71" s="946"/>
      <c r="F71" s="947"/>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ht="20.100000000000001" customHeight="1"/>
    <row r="82" ht="20.100000000000001" customHeight="1"/>
    <row r="83" ht="20.100000000000001" customHeight="1"/>
    <row r="84" ht="20.100000000000001" customHeight="1"/>
    <row r="85" ht="20.25" customHeight="1"/>
    <row r="86" ht="20.25" customHeight="1"/>
    <row r="87" ht="20.25" customHeight="1"/>
    <row r="88" ht="20.25" customHeight="1"/>
    <row r="89" ht="20.25" customHeight="1"/>
    <row r="90" ht="20.25"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zoomScale="60" zoomScaleNormal="60" zoomScaleSheetLayoutView="70" zoomScalePageLayoutView="60" workbookViewId="0"/>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255</v>
      </c>
      <c r="F1" s="274"/>
    </row>
    <row r="2" spans="1:47" s="11" customFormat="1" ht="24" customHeight="1">
      <c r="A2" s="274"/>
      <c r="B2" s="274"/>
      <c r="C2" s="274"/>
      <c r="D2" s="274"/>
      <c r="E2" s="274"/>
      <c r="F2" s="274"/>
    </row>
    <row r="3" spans="1:47" s="11" customFormat="1" ht="24" customHeight="1">
      <c r="A3" s="878" t="s">
        <v>11</v>
      </c>
      <c r="B3" s="878"/>
      <c r="C3" s="878"/>
      <c r="D3" s="878"/>
      <c r="E3" s="878"/>
      <c r="F3" s="274"/>
    </row>
    <row r="4" spans="1:47" s="11" customFormat="1" ht="23.45" customHeight="1">
      <c r="A4" s="878" t="s">
        <v>256</v>
      </c>
      <c r="B4" s="878"/>
      <c r="C4" s="878"/>
      <c r="D4" s="878"/>
      <c r="E4" s="878"/>
      <c r="F4" s="274"/>
    </row>
    <row r="5" spans="1:47" s="11" customFormat="1" ht="23.1" customHeight="1">
      <c r="A5" s="878"/>
      <c r="B5" s="878"/>
      <c r="C5" s="878"/>
      <c r="D5" s="878"/>
      <c r="E5" s="878"/>
      <c r="F5" s="274"/>
    </row>
    <row r="6" spans="1:47" s="11" customFormat="1" ht="24.95" customHeight="1">
      <c r="A6" s="880"/>
      <c r="B6" s="880"/>
      <c r="C6" s="880"/>
      <c r="D6" s="880"/>
      <c r="E6" s="880"/>
      <c r="F6" s="274"/>
    </row>
    <row r="7" spans="1:47" s="11" customFormat="1" ht="24.95" customHeight="1" thickBot="1">
      <c r="A7" s="878" t="s">
        <v>208</v>
      </c>
      <c r="B7" s="881" t="str">
        <f>'CHECK SHEET'!D7</f>
        <v>State College of Florida, Manatee-Sarasota</v>
      </c>
      <c r="C7" s="881"/>
      <c r="D7" s="881"/>
      <c r="E7" s="881"/>
      <c r="F7" s="806"/>
    </row>
    <row r="8" spans="1:47" s="11" customFormat="1" ht="24.95" customHeight="1">
      <c r="A8" s="888"/>
      <c r="B8" s="888"/>
      <c r="C8" s="888"/>
      <c r="D8" s="888"/>
      <c r="E8" s="888"/>
    </row>
    <row r="9" spans="1:47" s="11" customFormat="1" ht="24.95" customHeight="1">
      <c r="A9" s="889"/>
      <c r="B9" s="889"/>
      <c r="C9" s="889"/>
      <c r="D9" s="889"/>
      <c r="E9" s="889"/>
    </row>
    <row r="10" spans="1:47" s="11" customFormat="1" ht="42.6" customHeight="1">
      <c r="A10" s="890" t="s">
        <v>257</v>
      </c>
      <c r="B10" s="890"/>
      <c r="C10" s="890"/>
      <c r="D10" s="890"/>
      <c r="E10" s="890"/>
    </row>
    <row r="11" spans="1:47" ht="24.95" customHeight="1" thickBot="1">
      <c r="A11" s="171"/>
      <c r="B11" s="171"/>
      <c r="C11" s="171"/>
      <c r="D11" s="171"/>
      <c r="E11" s="171"/>
      <c r="AT11" s="171"/>
      <c r="AU11" s="171"/>
    </row>
    <row r="12" spans="1:47" ht="78" customHeight="1" thickBot="1">
      <c r="A12" s="405" t="s">
        <v>258</v>
      </c>
      <c r="B12" s="405" t="s">
        <v>211</v>
      </c>
      <c r="C12" s="406" t="s">
        <v>259</v>
      </c>
      <c r="D12" s="406" t="s">
        <v>260</v>
      </c>
      <c r="E12" s="406" t="s">
        <v>261</v>
      </c>
    </row>
    <row r="13" spans="1:47" ht="24" customHeight="1">
      <c r="A13" s="407" t="s">
        <v>191</v>
      </c>
      <c r="B13" s="407" t="s">
        <v>217</v>
      </c>
      <c r="C13" s="408">
        <v>40101</v>
      </c>
      <c r="D13" s="438">
        <v>0</v>
      </c>
      <c r="E13" s="438">
        <v>0</v>
      </c>
    </row>
    <row r="14" spans="1:47" ht="24.95" customHeight="1">
      <c r="A14" s="686" t="s">
        <v>191</v>
      </c>
      <c r="B14" s="686" t="s">
        <v>123</v>
      </c>
      <c r="C14" s="687" t="s">
        <v>218</v>
      </c>
      <c r="D14" s="428">
        <v>0</v>
      </c>
      <c r="E14" s="428">
        <v>0</v>
      </c>
    </row>
    <row r="15" spans="1:47" ht="24.95" customHeight="1">
      <c r="A15" s="686" t="s">
        <v>191</v>
      </c>
      <c r="B15" s="686" t="s">
        <v>124</v>
      </c>
      <c r="C15" s="687" t="s">
        <v>219</v>
      </c>
      <c r="D15" s="428">
        <v>0</v>
      </c>
      <c r="E15" s="428">
        <v>0</v>
      </c>
    </row>
    <row r="16" spans="1:47" ht="24.95" customHeight="1">
      <c r="A16" s="686" t="s">
        <v>191</v>
      </c>
      <c r="B16" s="686" t="s">
        <v>74</v>
      </c>
      <c r="C16" s="687" t="s">
        <v>220</v>
      </c>
      <c r="D16" s="428">
        <v>0</v>
      </c>
      <c r="E16" s="428">
        <v>0</v>
      </c>
    </row>
    <row r="17" spans="1:5" ht="24.95" customHeight="1">
      <c r="A17" s="686" t="s">
        <v>191</v>
      </c>
      <c r="B17" s="686" t="s">
        <v>125</v>
      </c>
      <c r="C17" s="687" t="s">
        <v>221</v>
      </c>
      <c r="D17" s="429">
        <v>0</v>
      </c>
      <c r="E17" s="429">
        <v>0</v>
      </c>
    </row>
    <row r="18" spans="1:5" ht="24.95" customHeight="1" thickBot="1">
      <c r="A18" s="686" t="s">
        <v>191</v>
      </c>
      <c r="B18" s="686" t="s">
        <v>126</v>
      </c>
      <c r="C18" s="687">
        <v>40160</v>
      </c>
      <c r="D18" s="430">
        <v>0</v>
      </c>
      <c r="E18" s="430">
        <v>0</v>
      </c>
    </row>
    <row r="19" spans="1:5" ht="24.95" customHeight="1" thickBot="1">
      <c r="A19" s="409"/>
      <c r="B19" s="467"/>
      <c r="C19" s="468"/>
      <c r="D19" s="948"/>
      <c r="E19" s="949"/>
    </row>
    <row r="20" spans="1:5" ht="24.95" customHeight="1" thickBot="1">
      <c r="A20" s="688"/>
      <c r="B20" s="688" t="s">
        <v>222</v>
      </c>
      <c r="C20" s="688"/>
      <c r="D20" s="688"/>
      <c r="E20" s="689">
        <f>SUM(E13:E18)</f>
        <v>0</v>
      </c>
    </row>
    <row r="21" spans="1:5" ht="78" customHeight="1" thickBot="1">
      <c r="A21" s="405" t="s">
        <v>258</v>
      </c>
      <c r="B21" s="405" t="s">
        <v>211</v>
      </c>
      <c r="C21" s="406" t="s">
        <v>259</v>
      </c>
      <c r="D21" s="406" t="s">
        <v>262</v>
      </c>
      <c r="E21" s="406" t="s">
        <v>261</v>
      </c>
    </row>
    <row r="22" spans="1:5" s="169" customFormat="1" ht="24.95" customHeight="1">
      <c r="A22" s="533" t="s">
        <v>206</v>
      </c>
      <c r="B22" s="169" t="s">
        <v>217</v>
      </c>
      <c r="C22" s="469">
        <v>40301</v>
      </c>
      <c r="D22" s="438">
        <v>0</v>
      </c>
      <c r="E22" s="438">
        <v>0</v>
      </c>
    </row>
    <row r="23" spans="1:5" s="169" customFormat="1" ht="24.95" customHeight="1">
      <c r="A23" s="686" t="s">
        <v>206</v>
      </c>
      <c r="B23" s="571" t="s">
        <v>123</v>
      </c>
      <c r="C23" s="590" t="s">
        <v>225</v>
      </c>
      <c r="D23" s="690">
        <v>0</v>
      </c>
      <c r="E23" s="690">
        <v>0</v>
      </c>
    </row>
    <row r="24" spans="1:5" s="169" customFormat="1" ht="24.95" customHeight="1">
      <c r="A24" s="686" t="s">
        <v>206</v>
      </c>
      <c r="B24" s="571" t="s">
        <v>124</v>
      </c>
      <c r="C24" s="590" t="s">
        <v>226</v>
      </c>
      <c r="D24" s="690">
        <v>0</v>
      </c>
      <c r="E24" s="690">
        <v>0</v>
      </c>
    </row>
    <row r="25" spans="1:5" s="169" customFormat="1" ht="24.95" customHeight="1">
      <c r="A25" s="686" t="s">
        <v>206</v>
      </c>
      <c r="B25" s="571" t="s">
        <v>74</v>
      </c>
      <c r="C25" s="590" t="s">
        <v>227</v>
      </c>
      <c r="D25" s="690">
        <v>0</v>
      </c>
      <c r="E25" s="690">
        <v>0</v>
      </c>
    </row>
    <row r="26" spans="1:5" s="169" customFormat="1" ht="24.95" customHeight="1">
      <c r="A26" s="686" t="s">
        <v>206</v>
      </c>
      <c r="B26" s="571" t="s">
        <v>125</v>
      </c>
      <c r="C26" s="590" t="s">
        <v>228</v>
      </c>
      <c r="D26" s="690">
        <v>0</v>
      </c>
      <c r="E26" s="690">
        <v>0</v>
      </c>
    </row>
    <row r="27" spans="1:5" s="169" customFormat="1" ht="24.95" customHeight="1">
      <c r="A27" s="1117" t="s">
        <v>206</v>
      </c>
      <c r="B27" s="571" t="s">
        <v>721</v>
      </c>
      <c r="C27" s="1118">
        <v>40360</v>
      </c>
      <c r="D27" s="1119">
        <v>0</v>
      </c>
      <c r="E27" s="1119">
        <v>0</v>
      </c>
    </row>
    <row r="28" spans="1:5" s="169" customFormat="1" ht="24.95" customHeight="1" thickBot="1">
      <c r="A28" s="1115" t="s">
        <v>206</v>
      </c>
      <c r="B28" s="1120" t="s">
        <v>702</v>
      </c>
      <c r="C28" s="410" t="s">
        <v>703</v>
      </c>
      <c r="D28" s="430">
        <v>0</v>
      </c>
      <c r="E28" s="1116">
        <v>0</v>
      </c>
    </row>
    <row r="29" spans="1:5" ht="24.95" customHeight="1" thickBot="1">
      <c r="A29" s="470"/>
      <c r="B29" s="471"/>
      <c r="C29" s="470"/>
      <c r="D29" s="411"/>
      <c r="E29" s="472"/>
    </row>
    <row r="30" spans="1:5" ht="24.95" customHeight="1" thickBot="1">
      <c r="A30" s="534"/>
      <c r="B30" s="473" t="s">
        <v>222</v>
      </c>
      <c r="C30" s="412"/>
      <c r="D30" s="412"/>
      <c r="E30" s="474">
        <f>SUM(E22:E28)</f>
        <v>0</v>
      </c>
    </row>
    <row r="31" spans="1:5" ht="24.95" customHeight="1" thickBot="1">
      <c r="A31" s="412" t="s">
        <v>263</v>
      </c>
      <c r="B31" s="413"/>
      <c r="C31" s="414"/>
      <c r="D31" s="414"/>
      <c r="E31" s="415">
        <f>E20+E30</f>
        <v>0</v>
      </c>
    </row>
    <row r="32" spans="1:5" ht="24.95" customHeight="1">
      <c r="A32" s="171"/>
      <c r="B32" s="171"/>
      <c r="C32" s="171"/>
      <c r="D32" s="171"/>
      <c r="E32" s="171"/>
    </row>
    <row r="33" spans="1:5" ht="24.95" customHeight="1" thickBot="1">
      <c r="A33" s="10" t="s">
        <v>264</v>
      </c>
      <c r="B33" s="171"/>
      <c r="C33" s="171"/>
      <c r="D33" s="171"/>
      <c r="E33" s="171"/>
    </row>
    <row r="34" spans="1:5" ht="24.95" customHeight="1">
      <c r="A34" s="811"/>
      <c r="B34" s="812"/>
      <c r="C34" s="812"/>
      <c r="D34" s="812"/>
      <c r="E34" s="813"/>
    </row>
    <row r="35" spans="1:5" ht="24.95" customHeight="1">
      <c r="A35" s="814"/>
      <c r="B35" s="815"/>
      <c r="C35" s="815"/>
      <c r="D35" s="815"/>
      <c r="E35" s="816"/>
    </row>
    <row r="36" spans="1:5" ht="24.95" customHeight="1">
      <c r="A36" s="814"/>
      <c r="B36" s="815"/>
      <c r="C36" s="815"/>
      <c r="D36" s="815"/>
      <c r="E36" s="816"/>
    </row>
    <row r="37" spans="1:5" ht="24.95" customHeight="1">
      <c r="A37" s="814"/>
      <c r="B37" s="815"/>
      <c r="C37" s="815"/>
      <c r="D37" s="815"/>
      <c r="E37" s="816"/>
    </row>
    <row r="38" spans="1:5" ht="24.95" customHeight="1" thickBot="1">
      <c r="A38" s="817"/>
      <c r="B38" s="818"/>
      <c r="C38" s="818"/>
      <c r="D38" s="818"/>
      <c r="E38" s="819"/>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5" orientation="landscape" r:id="rId1"/>
  <headerFooter alignWithMargins="0">
    <oddFooter>&amp;L&amp;Z&amp;F</oddFooter>
  </headerFooter>
  <ignoredErrors>
    <ignoredError sqref="C23:C27 C14:C16 C17:C18" numberStoredAsText="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topLeftCell="A253" zoomScale="90" zoomScaleNormal="90" zoomScaleSheetLayoutView="70" zoomScalePageLayoutView="70" workbookViewId="0">
      <selection activeCell="G261" sqref="G261"/>
    </sheetView>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91"/>
      <c r="B1" s="891"/>
      <c r="C1" s="891"/>
      <c r="D1" s="891"/>
      <c r="E1" s="891"/>
      <c r="F1" s="891"/>
      <c r="G1" s="892"/>
    </row>
    <row r="2" spans="1:8" ht="30" customHeight="1" thickBot="1">
      <c r="A2" s="892" t="s">
        <v>169</v>
      </c>
      <c r="B2" s="881" t="str">
        <f>'CHECK SHEET'!D7</f>
        <v>State College of Florida, Manatee-Sarasota</v>
      </c>
      <c r="C2" s="881"/>
      <c r="D2" s="881"/>
      <c r="E2" s="881"/>
      <c r="F2" s="881"/>
      <c r="G2" s="893"/>
    </row>
    <row r="3" spans="1:8" ht="23.1" customHeight="1">
      <c r="A3" s="878" t="s">
        <v>265</v>
      </c>
      <c r="B3" s="878"/>
      <c r="C3" s="878"/>
      <c r="D3" s="878"/>
      <c r="E3" s="878"/>
      <c r="F3" s="878"/>
      <c r="G3" s="878"/>
    </row>
    <row r="4" spans="1:8" ht="23.45" customHeight="1">
      <c r="A4" s="878" t="s">
        <v>266</v>
      </c>
      <c r="B4" s="878"/>
      <c r="C4" s="878"/>
      <c r="D4" s="878"/>
      <c r="E4" s="878"/>
      <c r="F4" s="878"/>
      <c r="G4" s="878"/>
    </row>
    <row r="5" spans="1:8" ht="23.45" customHeight="1">
      <c r="A5" s="878" t="s">
        <v>744</v>
      </c>
      <c r="B5" s="878"/>
      <c r="C5" s="878"/>
      <c r="D5" s="878"/>
      <c r="E5" s="878"/>
      <c r="F5" s="878"/>
      <c r="G5" s="878"/>
    </row>
    <row r="6" spans="1:8" ht="20.100000000000001" customHeight="1">
      <c r="A6" s="894"/>
      <c r="B6" s="894"/>
      <c r="C6" s="894"/>
      <c r="D6" s="894"/>
      <c r="E6" s="894"/>
      <c r="F6" s="894"/>
      <c r="G6" s="894"/>
    </row>
    <row r="7" spans="1:8" ht="38.450000000000003" customHeight="1">
      <c r="A7" s="895" t="s">
        <v>267</v>
      </c>
      <c r="B7" s="895"/>
      <c r="C7" s="895"/>
      <c r="D7" s="895"/>
      <c r="E7" s="895"/>
      <c r="F7" s="895"/>
      <c r="G7" s="895"/>
      <c r="H7" s="175"/>
    </row>
    <row r="8" spans="1:8" ht="20.100000000000001" customHeight="1">
      <c r="A8" s="174"/>
      <c r="B8" s="174"/>
      <c r="C8" s="174"/>
      <c r="D8" s="174"/>
      <c r="E8" s="174"/>
      <c r="F8" s="174"/>
      <c r="G8" s="174"/>
      <c r="H8" s="175"/>
    </row>
    <row r="9" spans="1:8" ht="76.349999999999994" customHeight="1">
      <c r="A9" s="494" t="s">
        <v>268</v>
      </c>
      <c r="B9" s="495" t="s">
        <v>269</v>
      </c>
      <c r="C9" s="495"/>
      <c r="D9" s="495"/>
      <c r="E9" s="495"/>
      <c r="F9" s="496" t="s">
        <v>259</v>
      </c>
      <c r="G9" s="497" t="s">
        <v>270</v>
      </c>
    </row>
    <row r="10" spans="1:8" ht="20.100000000000001" customHeight="1">
      <c r="A10" s="507" t="s">
        <v>210</v>
      </c>
      <c r="B10" s="508"/>
      <c r="C10" s="508"/>
      <c r="D10" s="508"/>
      <c r="E10" s="508"/>
      <c r="F10" s="509"/>
      <c r="G10" s="510"/>
    </row>
    <row r="11" spans="1:8" ht="20.100000000000001" customHeight="1">
      <c r="A11" s="478"/>
      <c r="B11" s="176"/>
      <c r="C11" s="176"/>
      <c r="D11" s="176"/>
      <c r="E11" s="176"/>
      <c r="F11" s="177"/>
      <c r="G11" s="178"/>
    </row>
    <row r="12" spans="1:8" ht="20.100000000000001" customHeight="1">
      <c r="A12" s="478" t="s">
        <v>191</v>
      </c>
      <c r="B12" s="176"/>
      <c r="C12" s="176" t="s">
        <v>217</v>
      </c>
      <c r="D12" s="176"/>
      <c r="E12" s="176"/>
      <c r="F12" s="179">
        <v>40101</v>
      </c>
      <c r="G12" s="1146">
        <f>+'EXHIBIT C'!H10+'EXHIBIT C(2)'!E13</f>
        <v>1702613</v>
      </c>
    </row>
    <row r="13" spans="1:8" ht="20.100000000000001" customHeight="1">
      <c r="A13" s="478" t="s">
        <v>191</v>
      </c>
      <c r="B13" s="176"/>
      <c r="C13" s="169" t="s">
        <v>123</v>
      </c>
      <c r="D13" s="176"/>
      <c r="E13" s="176"/>
      <c r="F13" s="180" t="s">
        <v>218</v>
      </c>
      <c r="G13" s="1146">
        <f>+'EXHIBIT C'!H11+'EXHIBIT C(2)'!E14</f>
        <v>9066679</v>
      </c>
    </row>
    <row r="14" spans="1:8" ht="20.100000000000001" customHeight="1">
      <c r="A14" s="478" t="s">
        <v>191</v>
      </c>
      <c r="B14" s="176"/>
      <c r="C14" s="176" t="s">
        <v>124</v>
      </c>
      <c r="D14" s="176"/>
      <c r="E14" s="176"/>
      <c r="F14" s="180" t="s">
        <v>219</v>
      </c>
      <c r="G14" s="1147">
        <f>+'EXHIBIT C'!H12+'EXHIBIT C(2)'!E15</f>
        <v>4149270</v>
      </c>
    </row>
    <row r="15" spans="1:8" ht="20.100000000000001" customHeight="1">
      <c r="A15" s="478" t="s">
        <v>191</v>
      </c>
      <c r="B15" s="176"/>
      <c r="C15" s="181" t="s">
        <v>271</v>
      </c>
      <c r="D15" s="176"/>
      <c r="E15" s="176"/>
      <c r="F15" s="180" t="s">
        <v>220</v>
      </c>
      <c r="G15" s="1147">
        <f>+'EXHIBIT C'!H13+'EXHIBIT C(2)'!E16</f>
        <v>0</v>
      </c>
    </row>
    <row r="16" spans="1:8" ht="20.100000000000001" customHeight="1">
      <c r="A16" s="478" t="s">
        <v>191</v>
      </c>
      <c r="B16" s="176"/>
      <c r="C16" s="181" t="s">
        <v>272</v>
      </c>
      <c r="D16" s="176"/>
      <c r="E16" s="176"/>
      <c r="F16" s="180" t="s">
        <v>221</v>
      </c>
      <c r="G16" s="182">
        <f>+'EXHIBIT C'!H14+'EXHIBIT C(2)'!E17</f>
        <v>393096</v>
      </c>
    </row>
    <row r="17" spans="1:7" ht="20.100000000000001" customHeight="1">
      <c r="A17" s="478" t="s">
        <v>191</v>
      </c>
      <c r="B17" s="176"/>
      <c r="C17" s="169" t="s">
        <v>126</v>
      </c>
      <c r="D17" s="176"/>
      <c r="E17" s="176"/>
      <c r="F17" s="179">
        <v>40160</v>
      </c>
      <c r="G17" s="182">
        <f>+'EXHIBIT C'!H15+'EXHIBIT C(2)'!E18</f>
        <v>16399</v>
      </c>
    </row>
    <row r="18" spans="1:7" ht="20.100000000000001" customHeight="1">
      <c r="A18" s="478"/>
      <c r="B18" s="176"/>
      <c r="C18" s="176"/>
      <c r="D18" s="176"/>
      <c r="E18" s="176"/>
      <c r="F18" s="180"/>
      <c r="G18" s="182"/>
    </row>
    <row r="19" spans="1:7" ht="20.100000000000001" customHeight="1">
      <c r="A19" s="479" t="s">
        <v>273</v>
      </c>
      <c r="B19" s="176"/>
      <c r="C19" s="176"/>
      <c r="D19" s="176"/>
      <c r="E19" s="176"/>
      <c r="F19" s="180"/>
      <c r="G19" s="691">
        <f>SUM(G12:G17)</f>
        <v>15328057</v>
      </c>
    </row>
    <row r="20" spans="1:7" ht="20.100000000000001" customHeight="1">
      <c r="A20" s="478"/>
      <c r="B20" s="176"/>
      <c r="C20" s="176"/>
      <c r="D20" s="176"/>
      <c r="E20" s="176"/>
      <c r="F20" s="180"/>
      <c r="G20" s="183"/>
    </row>
    <row r="21" spans="1:7" ht="20.100000000000001" customHeight="1">
      <c r="A21" s="478" t="s">
        <v>206</v>
      </c>
      <c r="B21" s="176"/>
      <c r="C21" s="176" t="s">
        <v>217</v>
      </c>
      <c r="D21" s="176"/>
      <c r="E21" s="176"/>
      <c r="F21" s="179">
        <v>40301</v>
      </c>
      <c r="G21" s="1148">
        <f>+'EXHIBIT C'!F19+'EXHIBIT C(2)'!E22</f>
        <v>56375</v>
      </c>
    </row>
    <row r="22" spans="1:7" ht="20.100000000000001" customHeight="1">
      <c r="A22" s="478" t="s">
        <v>206</v>
      </c>
      <c r="B22" s="176"/>
      <c r="C22" s="169" t="s">
        <v>123</v>
      </c>
      <c r="D22" s="176"/>
      <c r="E22" s="176"/>
      <c r="F22" s="180" t="s">
        <v>225</v>
      </c>
      <c r="G22" s="1148">
        <f>+'EXHIBIT C'!F20+'EXHIBIT C(2)'!E23</f>
        <v>980607</v>
      </c>
    </row>
    <row r="23" spans="1:7" ht="20.100000000000001" customHeight="1">
      <c r="A23" s="478" t="s">
        <v>206</v>
      </c>
      <c r="B23" s="176"/>
      <c r="C23" s="176" t="s">
        <v>124</v>
      </c>
      <c r="D23" s="176"/>
      <c r="E23" s="176"/>
      <c r="F23" s="180" t="s">
        <v>226</v>
      </c>
      <c r="G23" s="1149">
        <f>+'EXHIBIT C'!F21+'EXHIBIT C(2)'!E24</f>
        <v>609950</v>
      </c>
    </row>
    <row r="24" spans="1:7" ht="20.100000000000001" customHeight="1">
      <c r="A24" s="478" t="s">
        <v>206</v>
      </c>
      <c r="B24" s="176"/>
      <c r="C24" s="181" t="s">
        <v>271</v>
      </c>
      <c r="D24" s="176"/>
      <c r="E24" s="176"/>
      <c r="F24" s="180" t="s">
        <v>227</v>
      </c>
      <c r="G24" s="1149">
        <f>+'EXHIBIT C'!F22+'EXHIBIT C(2)'!E25</f>
        <v>0</v>
      </c>
    </row>
    <row r="25" spans="1:7" ht="20.100000000000001" customHeight="1">
      <c r="A25" s="478" t="s">
        <v>206</v>
      </c>
      <c r="B25" s="176"/>
      <c r="C25" s="181" t="s">
        <v>272</v>
      </c>
      <c r="D25" s="176"/>
      <c r="E25" s="176"/>
      <c r="F25" s="180" t="s">
        <v>228</v>
      </c>
      <c r="G25" s="1149">
        <f>+'EXHIBIT C'!F23+'EXHIBIT C(2)'!E26</f>
        <v>92072</v>
      </c>
    </row>
    <row r="26" spans="1:7" ht="20.100000000000001" customHeight="1">
      <c r="A26" s="478" t="s">
        <v>206</v>
      </c>
      <c r="B26" s="176"/>
      <c r="C26" s="169" t="s">
        <v>721</v>
      </c>
      <c r="D26" s="176"/>
      <c r="E26" s="176"/>
      <c r="F26" s="179">
        <v>40360</v>
      </c>
      <c r="G26" s="1149">
        <f>+'EXHIBIT C'!F24+'EXHIBIT C(2)'!E27</f>
        <v>0</v>
      </c>
    </row>
    <row r="27" spans="1:7" ht="20.100000000000001" customHeight="1">
      <c r="A27" s="478" t="s">
        <v>206</v>
      </c>
      <c r="B27" s="176"/>
      <c r="C27" s="169" t="s">
        <v>702</v>
      </c>
      <c r="D27" s="176"/>
      <c r="E27" s="176"/>
      <c r="F27" s="179" t="s">
        <v>703</v>
      </c>
      <c r="G27" s="1149">
        <f>+'EXHIBIT C'!F25+'EXHIBIT C(2)'!E28</f>
        <v>0</v>
      </c>
    </row>
    <row r="28" spans="1:7" ht="20.100000000000001" customHeight="1">
      <c r="A28" s="478"/>
      <c r="B28" s="176"/>
      <c r="C28" s="176"/>
      <c r="D28" s="176"/>
      <c r="E28" s="176"/>
      <c r="F28" s="180"/>
      <c r="G28" s="184"/>
    </row>
    <row r="29" spans="1:7" ht="20.100000000000001" customHeight="1">
      <c r="A29" s="479" t="s">
        <v>274</v>
      </c>
      <c r="B29" s="176"/>
      <c r="C29" s="176"/>
      <c r="D29" s="176"/>
      <c r="E29" s="176"/>
      <c r="F29" s="180"/>
      <c r="G29" s="692">
        <f>SUM(G21:G27)</f>
        <v>1739004</v>
      </c>
    </row>
    <row r="30" spans="1:7" ht="20.100000000000001" customHeight="1">
      <c r="A30" s="478"/>
      <c r="B30" s="176"/>
      <c r="C30" s="176"/>
      <c r="D30" s="176"/>
      <c r="E30" s="176"/>
      <c r="F30" s="180"/>
      <c r="G30" s="185"/>
    </row>
    <row r="31" spans="1:7" ht="20.100000000000001" customHeight="1">
      <c r="A31" s="478" t="s">
        <v>275</v>
      </c>
      <c r="B31" s="176"/>
      <c r="C31" s="820" t="s">
        <v>236</v>
      </c>
      <c r="D31" s="820"/>
      <c r="E31" s="820"/>
      <c r="F31" s="180" t="s">
        <v>237</v>
      </c>
      <c r="G31" s="182">
        <f>'EXHIBIT C'!H33</f>
        <v>0</v>
      </c>
    </row>
    <row r="32" spans="1:7" ht="20.100000000000001" customHeight="1">
      <c r="A32" s="478" t="s">
        <v>275</v>
      </c>
      <c r="B32" s="176"/>
      <c r="C32" s="169" t="s">
        <v>238</v>
      </c>
      <c r="D32" s="176"/>
      <c r="E32" s="176"/>
      <c r="F32" s="180" t="s">
        <v>239</v>
      </c>
      <c r="G32" s="182">
        <f>'EXHIBIT C'!H34</f>
        <v>0</v>
      </c>
    </row>
    <row r="33" spans="1:7" ht="20.100000000000001" customHeight="1">
      <c r="A33" s="478" t="s">
        <v>276</v>
      </c>
      <c r="B33" s="176"/>
      <c r="C33" s="176" t="s">
        <v>236</v>
      </c>
      <c r="D33" s="176"/>
      <c r="E33" s="176"/>
      <c r="F33" s="180" t="s">
        <v>237</v>
      </c>
      <c r="G33" s="182">
        <f>'EXHIBIT C'!H35</f>
        <v>0</v>
      </c>
    </row>
    <row r="34" spans="1:7" ht="20.100000000000001" customHeight="1">
      <c r="A34" s="478" t="s">
        <v>276</v>
      </c>
      <c r="B34" s="176"/>
      <c r="C34" s="169" t="s">
        <v>238</v>
      </c>
      <c r="D34" s="176"/>
      <c r="E34" s="176"/>
      <c r="F34" s="180" t="s">
        <v>239</v>
      </c>
      <c r="G34" s="182">
        <f>'EXHIBIT C'!H36</f>
        <v>0</v>
      </c>
    </row>
    <row r="35" spans="1:7" ht="20.100000000000001" customHeight="1">
      <c r="A35" s="478"/>
      <c r="B35" s="176"/>
      <c r="C35" s="176"/>
      <c r="D35" s="176"/>
      <c r="E35" s="176"/>
      <c r="F35" s="180"/>
      <c r="G35" s="186"/>
    </row>
    <row r="36" spans="1:7" ht="20.100000000000001" customHeight="1">
      <c r="A36" s="479" t="s">
        <v>277</v>
      </c>
      <c r="B36" s="176"/>
      <c r="C36" s="176"/>
      <c r="D36" s="176"/>
      <c r="E36" s="176"/>
      <c r="F36" s="180"/>
      <c r="G36" s="692">
        <f>SUM(G31:G34)</f>
        <v>0</v>
      </c>
    </row>
    <row r="37" spans="1:7" ht="20.100000000000001" customHeight="1">
      <c r="A37" s="478"/>
      <c r="B37" s="176"/>
      <c r="C37" s="176"/>
      <c r="D37" s="176"/>
      <c r="E37" s="176"/>
      <c r="F37" s="180"/>
      <c r="G37" s="184"/>
    </row>
    <row r="38" spans="1:7" ht="20.100000000000001" customHeight="1">
      <c r="A38" s="478" t="s">
        <v>278</v>
      </c>
      <c r="B38" s="176"/>
      <c r="C38" s="176" t="s">
        <v>236</v>
      </c>
      <c r="D38" s="176"/>
      <c r="E38" s="176"/>
      <c r="F38" s="180" t="s">
        <v>243</v>
      </c>
      <c r="G38" s="1149">
        <f>'EXHIBIT C'!F40</f>
        <v>0</v>
      </c>
    </row>
    <row r="39" spans="1:7" ht="20.100000000000001" customHeight="1">
      <c r="A39" s="478" t="s">
        <v>278</v>
      </c>
      <c r="B39" s="176"/>
      <c r="C39" s="821" t="s">
        <v>238</v>
      </c>
      <c r="D39" s="821"/>
      <c r="E39" s="821"/>
      <c r="F39" s="180" t="s">
        <v>244</v>
      </c>
      <c r="G39" s="1149">
        <f>'EXHIBIT C'!F41</f>
        <v>0</v>
      </c>
    </row>
    <row r="40" spans="1:7" ht="20.100000000000001" customHeight="1">
      <c r="A40" s="478" t="s">
        <v>279</v>
      </c>
      <c r="B40" s="176"/>
      <c r="C40" s="176" t="s">
        <v>236</v>
      </c>
      <c r="D40" s="176"/>
      <c r="E40" s="176"/>
      <c r="F40" s="180" t="s">
        <v>243</v>
      </c>
      <c r="G40" s="1149">
        <f>'EXHIBIT C'!F42</f>
        <v>0</v>
      </c>
    </row>
    <row r="41" spans="1:7" ht="20.100000000000001" customHeight="1">
      <c r="A41" s="478" t="s">
        <v>279</v>
      </c>
      <c r="B41" s="176"/>
      <c r="C41" s="821" t="s">
        <v>238</v>
      </c>
      <c r="D41" s="821"/>
      <c r="E41" s="821"/>
      <c r="F41" s="180" t="s">
        <v>244</v>
      </c>
      <c r="G41" s="1149">
        <f>'EXHIBIT C'!F43</f>
        <v>0</v>
      </c>
    </row>
    <row r="42" spans="1:7" ht="20.100000000000001" customHeight="1">
      <c r="A42" s="478"/>
      <c r="B42" s="176"/>
      <c r="C42" s="176"/>
      <c r="D42" s="176"/>
      <c r="E42" s="176"/>
      <c r="F42" s="180"/>
      <c r="G42" s="184"/>
    </row>
    <row r="43" spans="1:7" ht="20.100000000000001" customHeight="1">
      <c r="A43" s="479" t="s">
        <v>280</v>
      </c>
      <c r="B43" s="176"/>
      <c r="C43" s="176"/>
      <c r="D43" s="176"/>
      <c r="E43" s="176"/>
      <c r="F43" s="180"/>
      <c r="G43" s="692">
        <f>SUM(G38:G42)</f>
        <v>0</v>
      </c>
    </row>
    <row r="44" spans="1:7" ht="20.100000000000001" customHeight="1">
      <c r="A44" s="478"/>
      <c r="B44" s="176"/>
      <c r="C44" s="176"/>
      <c r="D44" s="176"/>
      <c r="E44" s="176"/>
      <c r="F44" s="180"/>
      <c r="G44" s="185"/>
    </row>
    <row r="45" spans="1:7" ht="20.100000000000001" customHeight="1">
      <c r="A45" s="479" t="s">
        <v>281</v>
      </c>
      <c r="B45" s="176"/>
      <c r="C45" s="176"/>
      <c r="D45" s="176"/>
      <c r="E45" s="176"/>
      <c r="F45" s="180"/>
      <c r="G45" s="693">
        <f>G19+G29+G36+G43</f>
        <v>17067061</v>
      </c>
    </row>
    <row r="46" spans="1:7" ht="20.100000000000001" customHeight="1">
      <c r="A46" s="478"/>
      <c r="B46" s="176"/>
      <c r="C46" s="176"/>
      <c r="D46" s="176"/>
      <c r="E46" s="176"/>
      <c r="F46" s="180"/>
      <c r="G46" s="184"/>
    </row>
    <row r="47" spans="1:7" ht="20.100000000000001" customHeight="1">
      <c r="A47" s="478" t="s">
        <v>282</v>
      </c>
      <c r="B47" s="176"/>
      <c r="C47" s="176"/>
      <c r="D47" s="176"/>
      <c r="E47" s="176"/>
      <c r="F47" s="180" t="s">
        <v>283</v>
      </c>
      <c r="G47" s="1150">
        <v>0</v>
      </c>
    </row>
    <row r="48" spans="1:7" ht="20.100000000000001" customHeight="1">
      <c r="A48" s="478" t="s">
        <v>284</v>
      </c>
      <c r="B48" s="187"/>
      <c r="C48" s="187"/>
      <c r="D48" s="187"/>
      <c r="E48" s="187"/>
      <c r="F48" s="188" t="s">
        <v>285</v>
      </c>
      <c r="G48" s="1150">
        <v>210000</v>
      </c>
    </row>
    <row r="49" spans="1:7" ht="20.100000000000001" customHeight="1">
      <c r="A49" s="478" t="s">
        <v>286</v>
      </c>
      <c r="C49" s="187"/>
      <c r="D49" s="187"/>
      <c r="E49" s="187"/>
      <c r="F49" s="188" t="s">
        <v>287</v>
      </c>
      <c r="G49" s="1150">
        <v>474600</v>
      </c>
    </row>
    <row r="50" spans="1:7" ht="20.100000000000001" customHeight="1">
      <c r="A50" s="478" t="s">
        <v>288</v>
      </c>
      <c r="B50" s="176"/>
      <c r="C50" s="176"/>
      <c r="D50" s="176"/>
      <c r="E50" s="176"/>
      <c r="F50" s="180" t="s">
        <v>289</v>
      </c>
      <c r="G50" s="1150">
        <v>212000</v>
      </c>
    </row>
    <row r="51" spans="1:7" ht="20.100000000000001" customHeight="1">
      <c r="A51" s="478" t="s">
        <v>711</v>
      </c>
      <c r="B51" s="176"/>
      <c r="C51" s="176"/>
      <c r="D51" s="176"/>
      <c r="E51" s="176"/>
      <c r="F51" s="195">
        <v>40280</v>
      </c>
      <c r="G51" s="1150">
        <v>2069065</v>
      </c>
    </row>
    <row r="52" spans="1:7" ht="20.100000000000001" customHeight="1">
      <c r="A52" s="478" t="s">
        <v>290</v>
      </c>
      <c r="B52" s="176"/>
      <c r="C52" s="176"/>
      <c r="D52" s="176"/>
      <c r="E52" s="176"/>
      <c r="F52" s="180" t="s">
        <v>291</v>
      </c>
      <c r="G52" s="1150">
        <v>324900</v>
      </c>
    </row>
    <row r="53" spans="1:7" ht="20.100000000000001" customHeight="1">
      <c r="A53" s="478" t="s">
        <v>292</v>
      </c>
      <c r="B53" s="176"/>
      <c r="C53" s="176"/>
      <c r="D53" s="176"/>
      <c r="E53" s="176"/>
      <c r="F53" s="179">
        <v>40450</v>
      </c>
      <c r="G53" s="1150">
        <v>0</v>
      </c>
    </row>
    <row r="54" spans="1:7" ht="20.100000000000001" customHeight="1">
      <c r="A54" s="478" t="s">
        <v>293</v>
      </c>
      <c r="B54" s="176"/>
      <c r="C54" s="176"/>
      <c r="D54" s="176"/>
      <c r="E54" s="176"/>
      <c r="F54" s="180" t="s">
        <v>294</v>
      </c>
      <c r="G54" s="1150">
        <f>211400+71700</f>
        <v>283100</v>
      </c>
    </row>
    <row r="55" spans="1:7" ht="20.100000000000001" customHeight="1">
      <c r="A55" s="478" t="s">
        <v>295</v>
      </c>
      <c r="B55" s="176"/>
      <c r="C55" s="176"/>
      <c r="D55" s="176"/>
      <c r="E55" s="176"/>
      <c r="F55" s="188" t="s">
        <v>296</v>
      </c>
      <c r="G55" s="1150">
        <v>0</v>
      </c>
    </row>
    <row r="56" spans="1:7" ht="20.100000000000001" customHeight="1">
      <c r="A56" s="478" t="s">
        <v>297</v>
      </c>
      <c r="B56" s="176"/>
      <c r="C56" s="176"/>
      <c r="D56" s="176"/>
      <c r="E56" s="176"/>
      <c r="F56" s="180" t="s">
        <v>298</v>
      </c>
      <c r="G56" s="1150">
        <v>0</v>
      </c>
    </row>
    <row r="57" spans="1:7" ht="20.100000000000001" customHeight="1">
      <c r="A57" s="478" t="s">
        <v>299</v>
      </c>
      <c r="B57" s="176"/>
      <c r="C57" s="176"/>
      <c r="D57" s="176"/>
      <c r="E57" s="176"/>
      <c r="F57" s="188" t="s">
        <v>300</v>
      </c>
      <c r="G57" s="1150">
        <v>0</v>
      </c>
    </row>
    <row r="58" spans="1:7" ht="20.100000000000001" customHeight="1">
      <c r="A58" s="478" t="s">
        <v>301</v>
      </c>
      <c r="B58" s="176"/>
      <c r="C58" s="176"/>
      <c r="D58" s="176"/>
      <c r="E58" s="176"/>
      <c r="F58" s="180" t="s">
        <v>302</v>
      </c>
      <c r="G58" s="1150">
        <v>18900</v>
      </c>
    </row>
    <row r="59" spans="1:7" ht="20.100000000000001" customHeight="1">
      <c r="A59" s="478" t="s">
        <v>303</v>
      </c>
      <c r="B59" s="176"/>
      <c r="C59" s="176"/>
      <c r="D59" s="176"/>
      <c r="E59" s="176"/>
      <c r="F59" s="180" t="s">
        <v>304</v>
      </c>
      <c r="G59" s="1150"/>
    </row>
    <row r="60" spans="1:7" ht="20.100000000000001" customHeight="1">
      <c r="A60" s="478" t="s">
        <v>305</v>
      </c>
      <c r="B60" s="176"/>
      <c r="C60" s="176"/>
      <c r="D60" s="176"/>
      <c r="E60" s="176"/>
      <c r="F60" s="189" t="s">
        <v>306</v>
      </c>
      <c r="G60" s="1150">
        <v>820038</v>
      </c>
    </row>
    <row r="61" spans="1:7" ht="20.100000000000001" customHeight="1">
      <c r="A61" s="478" t="s">
        <v>307</v>
      </c>
      <c r="B61" s="176"/>
      <c r="C61" s="176"/>
      <c r="D61" s="176"/>
      <c r="E61" s="176"/>
      <c r="F61" s="180" t="s">
        <v>308</v>
      </c>
      <c r="G61" s="1150">
        <v>889700</v>
      </c>
    </row>
    <row r="62" spans="1:7" ht="20.100000000000001" customHeight="1">
      <c r="A62" s="478" t="s">
        <v>309</v>
      </c>
      <c r="B62" s="176"/>
      <c r="C62" s="176"/>
      <c r="D62" s="176"/>
      <c r="E62" s="176"/>
      <c r="F62" s="188" t="s">
        <v>310</v>
      </c>
      <c r="G62" s="1150">
        <v>0</v>
      </c>
    </row>
    <row r="63" spans="1:7" ht="20.100000000000001" customHeight="1">
      <c r="A63" s="478" t="s">
        <v>311</v>
      </c>
      <c r="B63" s="176"/>
      <c r="C63" s="176"/>
      <c r="D63" s="176"/>
      <c r="E63" s="176"/>
      <c r="F63" s="188" t="s">
        <v>312</v>
      </c>
      <c r="G63" s="1150">
        <v>57900</v>
      </c>
    </row>
    <row r="64" spans="1:7" ht="20.100000000000001" customHeight="1">
      <c r="A64" s="478"/>
      <c r="B64" s="176"/>
      <c r="C64" s="176"/>
      <c r="D64" s="176"/>
      <c r="E64" s="176"/>
      <c r="F64" s="180"/>
      <c r="G64" s="694"/>
    </row>
    <row r="65" spans="1:7" ht="20.100000000000001" customHeight="1">
      <c r="A65" s="479" t="s">
        <v>313</v>
      </c>
      <c r="B65" s="176"/>
      <c r="C65" s="176"/>
      <c r="D65" s="176"/>
      <c r="E65" s="176"/>
      <c r="F65" s="180"/>
      <c r="G65" s="695">
        <f>SUM(G45:G63)</f>
        <v>22427264</v>
      </c>
    </row>
    <row r="66" spans="1:7" ht="20.100000000000001" customHeight="1">
      <c r="A66" s="478"/>
      <c r="B66" s="176"/>
      <c r="C66" s="176"/>
      <c r="D66" s="176"/>
      <c r="E66" s="176"/>
      <c r="F66" s="180"/>
      <c r="G66" s="184"/>
    </row>
    <row r="67" spans="1:7" ht="20.100000000000001" customHeight="1">
      <c r="A67" s="822" t="s">
        <v>314</v>
      </c>
      <c r="B67" s="823"/>
      <c r="C67" s="823"/>
      <c r="D67" s="823"/>
      <c r="E67" s="823"/>
      <c r="F67" s="824"/>
      <c r="G67" s="696"/>
    </row>
    <row r="68" spans="1:7" ht="20.100000000000001" customHeight="1">
      <c r="A68" s="478"/>
      <c r="B68" s="176"/>
      <c r="C68" s="176"/>
      <c r="D68" s="176"/>
      <c r="E68" s="176"/>
      <c r="F68" s="180"/>
      <c r="G68" s="184"/>
    </row>
    <row r="69" spans="1:7" ht="20.100000000000001" customHeight="1">
      <c r="A69" s="478" t="s">
        <v>315</v>
      </c>
      <c r="B69" s="176"/>
      <c r="C69" s="176"/>
      <c r="D69" s="176"/>
      <c r="E69" s="176"/>
      <c r="F69" s="180" t="s">
        <v>316</v>
      </c>
      <c r="G69" s="1150">
        <v>0</v>
      </c>
    </row>
    <row r="70" spans="1:7" ht="20.100000000000001" customHeight="1">
      <c r="A70" s="478" t="s">
        <v>317</v>
      </c>
      <c r="B70" s="176"/>
      <c r="C70" s="176"/>
      <c r="D70" s="176"/>
      <c r="E70" s="176"/>
      <c r="F70" s="180" t="s">
        <v>318</v>
      </c>
      <c r="G70" s="1150">
        <v>0</v>
      </c>
    </row>
    <row r="71" spans="1:7" ht="20.100000000000001" customHeight="1">
      <c r="A71" s="478" t="s">
        <v>319</v>
      </c>
      <c r="B71" s="176"/>
      <c r="C71" s="176"/>
      <c r="D71" s="176"/>
      <c r="E71" s="176"/>
      <c r="F71" s="180" t="s">
        <v>320</v>
      </c>
      <c r="G71" s="1150">
        <v>0</v>
      </c>
    </row>
    <row r="72" spans="1:7" ht="20.100000000000001" customHeight="1">
      <c r="A72" s="478"/>
      <c r="B72" s="176"/>
      <c r="C72" s="176"/>
      <c r="D72" s="176"/>
      <c r="E72" s="176"/>
      <c r="F72" s="180"/>
      <c r="G72" s="694"/>
    </row>
    <row r="73" spans="1:7" ht="20.100000000000001" customHeight="1">
      <c r="A73" s="479" t="s">
        <v>321</v>
      </c>
      <c r="B73" s="176"/>
      <c r="C73" s="176"/>
      <c r="D73" s="176"/>
      <c r="E73" s="176"/>
      <c r="F73" s="180"/>
      <c r="G73" s="210">
        <f>SUM(G69:G71)</f>
        <v>0</v>
      </c>
    </row>
    <row r="74" spans="1:7" ht="20.100000000000001" customHeight="1">
      <c r="A74" s="697"/>
      <c r="B74" s="544"/>
      <c r="C74" s="544"/>
      <c r="D74" s="544"/>
      <c r="E74" s="544"/>
      <c r="F74" s="545"/>
      <c r="G74" s="698"/>
    </row>
    <row r="75" spans="1:7" ht="20.100000000000001" customHeight="1">
      <c r="A75" s="822" t="s">
        <v>322</v>
      </c>
      <c r="B75" s="823"/>
      <c r="C75" s="823"/>
      <c r="D75" s="823"/>
      <c r="E75" s="823"/>
      <c r="F75" s="824"/>
      <c r="G75" s="591"/>
    </row>
    <row r="76" spans="1:7" ht="20.100000000000001" customHeight="1">
      <c r="A76" s="478"/>
      <c r="B76" s="176"/>
      <c r="C76" s="176"/>
      <c r="D76" s="176"/>
      <c r="E76" s="176"/>
      <c r="F76" s="180"/>
      <c r="G76" s="190"/>
    </row>
    <row r="77" spans="1:7" ht="20.100000000000001" customHeight="1">
      <c r="A77" s="478" t="s">
        <v>323</v>
      </c>
      <c r="B77" s="176"/>
      <c r="C77" s="176"/>
      <c r="D77" s="176"/>
      <c r="E77" s="176"/>
      <c r="F77" s="180" t="s">
        <v>324</v>
      </c>
      <c r="G77" s="1151">
        <f>'CHECK SHEET'!D84</f>
        <v>31804903</v>
      </c>
    </row>
    <row r="78" spans="1:7" ht="20.100000000000001" customHeight="1">
      <c r="A78" s="478" t="s">
        <v>679</v>
      </c>
      <c r="B78" s="176"/>
      <c r="C78" s="176"/>
      <c r="D78" s="176"/>
      <c r="E78" s="176"/>
      <c r="F78" s="179">
        <v>42130</v>
      </c>
      <c r="G78" s="1152">
        <v>1530501</v>
      </c>
    </row>
    <row r="79" spans="1:7" ht="20.100000000000001" customHeight="1">
      <c r="A79" s="480" t="s">
        <v>325</v>
      </c>
      <c r="B79" s="481"/>
      <c r="C79" s="481"/>
      <c r="D79" s="481"/>
      <c r="E79" s="481"/>
      <c r="F79" s="191" t="s">
        <v>326</v>
      </c>
      <c r="G79" s="1150">
        <v>513163</v>
      </c>
    </row>
    <row r="80" spans="1:7" ht="20.100000000000001" customHeight="1">
      <c r="A80" s="478" t="s">
        <v>327</v>
      </c>
      <c r="B80" s="176"/>
      <c r="C80" s="176"/>
      <c r="D80" s="176"/>
      <c r="E80" s="176"/>
      <c r="F80" s="180" t="s">
        <v>328</v>
      </c>
      <c r="G80" s="1152">
        <v>0</v>
      </c>
    </row>
    <row r="81" spans="1:10" ht="20.100000000000001" customHeight="1">
      <c r="A81" s="478" t="s">
        <v>694</v>
      </c>
      <c r="B81" s="176"/>
      <c r="C81" s="176"/>
      <c r="D81" s="176"/>
      <c r="E81" s="176"/>
      <c r="F81" s="180" t="s">
        <v>329</v>
      </c>
      <c r="G81" s="1152">
        <v>0</v>
      </c>
    </row>
    <row r="82" spans="1:10" ht="20.100000000000001" customHeight="1">
      <c r="A82" s="478" t="s">
        <v>330</v>
      </c>
      <c r="B82" s="176"/>
      <c r="C82" s="176"/>
      <c r="D82" s="176"/>
      <c r="E82" s="176"/>
      <c r="F82" s="180" t="s">
        <v>331</v>
      </c>
      <c r="G82" s="1151">
        <f>'CHECK SHEET'!D86</f>
        <v>4767012</v>
      </c>
    </row>
    <row r="83" spans="1:10" ht="20.100000000000001" customHeight="1">
      <c r="A83" s="482" t="s">
        <v>332</v>
      </c>
      <c r="B83" s="483"/>
      <c r="C83" s="483"/>
      <c r="D83" s="483"/>
      <c r="E83" s="483"/>
      <c r="F83" s="190" t="s">
        <v>333</v>
      </c>
      <c r="G83" s="1152"/>
    </row>
    <row r="84" spans="1:10" ht="20.100000000000001" customHeight="1">
      <c r="A84" s="478" t="s">
        <v>334</v>
      </c>
      <c r="B84" s="176"/>
      <c r="C84" s="176"/>
      <c r="D84" s="176"/>
      <c r="E84" s="176"/>
      <c r="F84" s="180" t="s">
        <v>335</v>
      </c>
      <c r="G84" s="1152">
        <v>24181</v>
      </c>
    </row>
    <row r="85" spans="1:10" ht="20.100000000000001" customHeight="1">
      <c r="A85" s="478"/>
      <c r="B85" s="176"/>
      <c r="C85" s="176"/>
      <c r="D85" s="176"/>
      <c r="E85" s="176"/>
      <c r="F85" s="180"/>
      <c r="G85" s="699"/>
    </row>
    <row r="86" spans="1:10" ht="20.100000000000001" customHeight="1">
      <c r="A86" s="479" t="s">
        <v>336</v>
      </c>
      <c r="B86" s="176"/>
      <c r="C86" s="176"/>
      <c r="D86" s="176"/>
      <c r="E86" s="176"/>
      <c r="F86" s="180"/>
      <c r="G86" s="211">
        <f>SUM(G77:G84)</f>
        <v>38639760</v>
      </c>
    </row>
    <row r="87" spans="1:10" ht="20.100000000000001" customHeight="1">
      <c r="A87" s="697"/>
      <c r="B87" s="544"/>
      <c r="C87" s="544"/>
      <c r="D87" s="544"/>
      <c r="E87" s="544"/>
      <c r="F87" s="545"/>
      <c r="G87" s="698"/>
    </row>
    <row r="88" spans="1:10" ht="20.100000000000001" customHeight="1">
      <c r="A88" s="825" t="s">
        <v>337</v>
      </c>
      <c r="B88" s="826"/>
      <c r="C88" s="826"/>
      <c r="D88" s="826"/>
      <c r="E88" s="826"/>
      <c r="F88" s="827"/>
      <c r="G88" s="591"/>
    </row>
    <row r="89" spans="1:10" ht="20.100000000000001" customHeight="1">
      <c r="A89" s="478"/>
      <c r="B89" s="176"/>
      <c r="C89" s="176"/>
      <c r="D89" s="176"/>
      <c r="E89" s="176"/>
      <c r="F89" s="180"/>
      <c r="G89" s="190"/>
    </row>
    <row r="90" spans="1:10" ht="20.100000000000001" customHeight="1">
      <c r="A90" s="478" t="s">
        <v>338</v>
      </c>
      <c r="B90" s="176"/>
      <c r="C90" s="176"/>
      <c r="D90" s="176"/>
      <c r="E90" s="176"/>
      <c r="F90" s="180" t="s">
        <v>339</v>
      </c>
      <c r="G90" s="432">
        <v>0</v>
      </c>
    </row>
    <row r="91" spans="1:10" ht="20.100000000000001" customHeight="1">
      <c r="A91" s="478" t="s">
        <v>340</v>
      </c>
      <c r="B91" s="176"/>
      <c r="C91" s="176"/>
      <c r="D91" s="176"/>
      <c r="E91" s="176"/>
      <c r="F91" s="970">
        <v>43518</v>
      </c>
      <c r="G91" s="433">
        <v>0</v>
      </c>
      <c r="J91" s="192"/>
    </row>
    <row r="92" spans="1:10" ht="20.100000000000001" customHeight="1">
      <c r="A92" s="478" t="s">
        <v>341</v>
      </c>
      <c r="B92" s="176"/>
      <c r="C92" s="176"/>
      <c r="D92" s="176"/>
      <c r="E92" s="176"/>
      <c r="F92" s="970">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342</v>
      </c>
      <c r="B95" s="176"/>
      <c r="C95" s="176"/>
      <c r="D95" s="176"/>
      <c r="E95" s="176"/>
      <c r="F95" s="180" t="s">
        <v>343</v>
      </c>
      <c r="G95" s="1142">
        <v>78000</v>
      </c>
    </row>
    <row r="96" spans="1:10" ht="20.100000000000001" customHeight="1">
      <c r="A96" s="572"/>
      <c r="B96" s="546"/>
      <c r="C96" s="546"/>
      <c r="D96" s="546"/>
      <c r="E96" s="546"/>
      <c r="F96" s="562"/>
      <c r="G96" s="699"/>
    </row>
    <row r="97" spans="1:7" ht="20.100000000000001" customHeight="1">
      <c r="A97" s="479" t="s">
        <v>344</v>
      </c>
      <c r="B97" s="176"/>
      <c r="C97" s="176"/>
      <c r="D97" s="176"/>
      <c r="E97" s="176"/>
      <c r="F97" s="193"/>
      <c r="G97" s="700">
        <f>SUM(G90:G95)</f>
        <v>78000</v>
      </c>
    </row>
    <row r="98" spans="1:7" ht="20.100000000000001" customHeight="1">
      <c r="A98" s="478"/>
      <c r="B98" s="176"/>
      <c r="C98" s="176"/>
      <c r="D98" s="176"/>
      <c r="E98" s="176"/>
      <c r="F98" s="180"/>
      <c r="G98" s="194"/>
    </row>
    <row r="99" spans="1:7" ht="20.100000000000001" customHeight="1">
      <c r="A99" s="828" t="s">
        <v>345</v>
      </c>
      <c r="B99" s="829"/>
      <c r="C99" s="829"/>
      <c r="D99" s="829"/>
      <c r="E99" s="829"/>
      <c r="F99" s="830"/>
      <c r="G99" s="701"/>
    </row>
    <row r="100" spans="1:7" ht="20.100000000000001" customHeight="1">
      <c r="A100" s="478"/>
      <c r="B100" s="176"/>
      <c r="C100" s="176"/>
      <c r="D100" s="176"/>
      <c r="E100" s="176"/>
      <c r="F100" s="180"/>
      <c r="G100" s="194"/>
    </row>
    <row r="101" spans="1:7" ht="20.100000000000001" customHeight="1">
      <c r="A101" s="478" t="s">
        <v>713</v>
      </c>
      <c r="B101" s="176"/>
      <c r="C101" s="176"/>
      <c r="D101" s="176"/>
      <c r="E101" s="176"/>
      <c r="F101" s="180" t="s">
        <v>346</v>
      </c>
      <c r="G101" s="432">
        <v>0</v>
      </c>
    </row>
    <row r="102" spans="1:7" ht="20.100000000000001" customHeight="1">
      <c r="A102" s="478" t="s">
        <v>347</v>
      </c>
      <c r="B102" s="176"/>
      <c r="C102" s="176"/>
      <c r="D102" s="176"/>
      <c r="E102" s="176"/>
      <c r="F102" s="180" t="s">
        <v>348</v>
      </c>
      <c r="G102" s="432">
        <v>0</v>
      </c>
    </row>
    <row r="103" spans="1:7" ht="20.100000000000001" customHeight="1">
      <c r="A103" s="478" t="s">
        <v>349</v>
      </c>
      <c r="B103" s="176"/>
      <c r="C103" s="176"/>
      <c r="D103" s="176"/>
      <c r="E103" s="176"/>
      <c r="F103" s="195">
        <v>44400</v>
      </c>
      <c r="G103" s="433">
        <v>0</v>
      </c>
    </row>
    <row r="104" spans="1:7" ht="20.100000000000001" customHeight="1">
      <c r="A104" s="478" t="s">
        <v>350</v>
      </c>
      <c r="B104" s="176"/>
      <c r="C104" s="176"/>
      <c r="D104" s="176"/>
      <c r="E104" s="176"/>
      <c r="F104" s="180" t="s">
        <v>351</v>
      </c>
      <c r="G104" s="432">
        <v>0</v>
      </c>
    </row>
    <row r="105" spans="1:7" ht="20.100000000000001" customHeight="1">
      <c r="A105" s="478"/>
      <c r="B105" s="176"/>
      <c r="C105" s="176"/>
      <c r="D105" s="176"/>
      <c r="E105" s="176"/>
      <c r="F105" s="180"/>
      <c r="G105" s="702"/>
    </row>
    <row r="106" spans="1:7" ht="20.100000000000001" customHeight="1">
      <c r="A106" s="479" t="s">
        <v>352</v>
      </c>
      <c r="B106" s="176"/>
      <c r="C106" s="176"/>
      <c r="D106" s="176"/>
      <c r="E106" s="176"/>
      <c r="F106" s="180"/>
      <c r="G106" s="700">
        <f>SUM(G101:G104)</f>
        <v>0</v>
      </c>
    </row>
    <row r="107" spans="1:7" ht="20.100000000000001" customHeight="1">
      <c r="A107" s="478"/>
      <c r="B107" s="176"/>
      <c r="C107" s="176"/>
      <c r="D107" s="176"/>
      <c r="E107" s="176"/>
      <c r="F107" s="180"/>
      <c r="G107" s="194"/>
    </row>
    <row r="108" spans="1:7" ht="20.100000000000001" customHeight="1">
      <c r="A108" s="822" t="s">
        <v>353</v>
      </c>
      <c r="B108" s="823"/>
      <c r="C108" s="823"/>
      <c r="D108" s="823"/>
      <c r="E108" s="823"/>
      <c r="F108" s="824"/>
      <c r="G108" s="703"/>
    </row>
    <row r="109" spans="1:7" ht="20.100000000000001" customHeight="1">
      <c r="A109" s="478"/>
      <c r="B109" s="176"/>
      <c r="C109" s="176"/>
      <c r="D109" s="176"/>
      <c r="E109" s="176"/>
      <c r="F109" s="180"/>
      <c r="G109" s="194"/>
    </row>
    <row r="110" spans="1:7" ht="20.100000000000001" customHeight="1">
      <c r="A110" s="478" t="s">
        <v>354</v>
      </c>
      <c r="B110" s="176"/>
      <c r="C110" s="176"/>
      <c r="D110" s="176"/>
      <c r="E110" s="176"/>
      <c r="F110" s="180" t="s">
        <v>355</v>
      </c>
      <c r="G110" s="432">
        <v>0</v>
      </c>
    </row>
    <row r="111" spans="1:7" ht="20.100000000000001" customHeight="1">
      <c r="A111" s="478" t="s">
        <v>714</v>
      </c>
      <c r="B111" s="176"/>
      <c r="C111" s="176"/>
      <c r="D111" s="176"/>
      <c r="E111" s="176"/>
      <c r="F111" s="180" t="s">
        <v>356</v>
      </c>
      <c r="G111" s="432">
        <v>0</v>
      </c>
    </row>
    <row r="112" spans="1:7" ht="20.100000000000001" customHeight="1">
      <c r="A112" s="478" t="s">
        <v>357</v>
      </c>
      <c r="B112" s="176"/>
      <c r="C112" s="176"/>
      <c r="D112" s="176"/>
      <c r="E112" s="176"/>
      <c r="F112" s="180" t="s">
        <v>358</v>
      </c>
      <c r="G112" s="432">
        <v>155085</v>
      </c>
    </row>
    <row r="113" spans="1:7" ht="20.100000000000001" customHeight="1">
      <c r="A113" s="478" t="s">
        <v>359</v>
      </c>
      <c r="B113" s="176"/>
      <c r="C113" s="176"/>
      <c r="D113" s="176"/>
      <c r="E113" s="176"/>
      <c r="F113" s="180" t="s">
        <v>360</v>
      </c>
      <c r="G113" s="432">
        <v>0</v>
      </c>
    </row>
    <row r="114" spans="1:7" ht="20.100000000000001" customHeight="1">
      <c r="A114" s="478" t="s">
        <v>361</v>
      </c>
      <c r="B114" s="176"/>
      <c r="C114" s="176"/>
      <c r="D114" s="176"/>
      <c r="E114" s="176"/>
      <c r="F114" s="180" t="s">
        <v>362</v>
      </c>
      <c r="G114" s="1037">
        <v>0</v>
      </c>
    </row>
    <row r="115" spans="1:7" ht="20.100000000000001" customHeight="1">
      <c r="A115" s="478"/>
      <c r="B115" s="176"/>
      <c r="C115" s="176"/>
      <c r="D115" s="176"/>
      <c r="E115" s="176"/>
      <c r="F115" s="180"/>
      <c r="G115" s="702"/>
    </row>
    <row r="116" spans="1:7" ht="20.100000000000001" customHeight="1">
      <c r="A116" s="704" t="s">
        <v>363</v>
      </c>
      <c r="B116" s="705"/>
      <c r="C116" s="705"/>
      <c r="D116" s="705"/>
      <c r="E116" s="705"/>
      <c r="F116" s="706"/>
      <c r="G116" s="700">
        <f>SUM(G110:G114)</f>
        <v>155085</v>
      </c>
    </row>
    <row r="117" spans="1:7" ht="20.100000000000001" customHeight="1">
      <c r="A117" s="478"/>
      <c r="B117" s="176"/>
      <c r="C117" s="176"/>
      <c r="D117" s="176"/>
      <c r="E117" s="176"/>
      <c r="F117" s="484"/>
      <c r="G117" s="485"/>
    </row>
    <row r="118" spans="1:7" ht="20.100000000000001" customHeight="1">
      <c r="A118" s="707" t="s">
        <v>715</v>
      </c>
      <c r="B118" s="547"/>
      <c r="C118" s="547"/>
      <c r="D118" s="547"/>
      <c r="E118" s="547"/>
      <c r="F118" s="548" t="s">
        <v>364</v>
      </c>
      <c r="G118" s="1143">
        <v>0</v>
      </c>
    </row>
    <row r="119" spans="1:7" ht="20.100000000000001" customHeight="1">
      <c r="A119" s="486"/>
      <c r="F119" s="195"/>
      <c r="G119" s="196"/>
    </row>
    <row r="120" spans="1:7" ht="20.100000000000001" customHeight="1">
      <c r="A120" s="479" t="s">
        <v>365</v>
      </c>
      <c r="C120" s="176"/>
      <c r="D120" s="176"/>
      <c r="F120" s="195"/>
      <c r="G120" s="700">
        <f>G118</f>
        <v>0</v>
      </c>
    </row>
    <row r="121" spans="1:7" ht="20.100000000000001" customHeight="1">
      <c r="A121" s="486"/>
      <c r="F121" s="195"/>
      <c r="G121" s="194"/>
    </row>
    <row r="122" spans="1:7" ht="20.100000000000001" customHeight="1">
      <c r="A122" s="828" t="s">
        <v>366</v>
      </c>
      <c r="B122" s="829"/>
      <c r="C122" s="829"/>
      <c r="D122" s="829"/>
      <c r="E122" s="829"/>
      <c r="F122" s="830"/>
      <c r="G122" s="701"/>
    </row>
    <row r="123" spans="1:7" ht="20.100000000000001" customHeight="1">
      <c r="A123" s="478"/>
      <c r="B123" s="176"/>
      <c r="C123" s="176"/>
      <c r="D123" s="176"/>
      <c r="E123" s="176"/>
      <c r="F123" s="180"/>
      <c r="G123" s="194"/>
    </row>
    <row r="124" spans="1:7" ht="20.100000000000001" customHeight="1">
      <c r="A124" s="478" t="s">
        <v>367</v>
      </c>
      <c r="B124" s="176"/>
      <c r="C124" s="176"/>
      <c r="D124" s="176"/>
      <c r="E124" s="176"/>
      <c r="F124" s="180" t="s">
        <v>368</v>
      </c>
      <c r="G124" s="432">
        <v>667000</v>
      </c>
    </row>
    <row r="125" spans="1:7" ht="20.100000000000001" customHeight="1">
      <c r="A125" s="478" t="s">
        <v>369</v>
      </c>
      <c r="B125" s="176"/>
      <c r="C125" s="176"/>
      <c r="D125" s="176"/>
      <c r="E125" s="176"/>
      <c r="F125" s="180" t="s">
        <v>370</v>
      </c>
      <c r="G125" s="432">
        <v>0</v>
      </c>
    </row>
    <row r="126" spans="1:7" ht="20.100000000000001" customHeight="1">
      <c r="A126" s="478" t="s">
        <v>371</v>
      </c>
      <c r="B126" s="176"/>
      <c r="C126" s="176"/>
      <c r="D126" s="176"/>
      <c r="E126" s="176"/>
      <c r="F126" s="180" t="s">
        <v>372</v>
      </c>
      <c r="G126" s="432">
        <v>500</v>
      </c>
    </row>
    <row r="127" spans="1:7" ht="20.100000000000001" customHeight="1">
      <c r="A127" s="478" t="s">
        <v>716</v>
      </c>
      <c r="B127" s="176"/>
      <c r="C127" s="176"/>
      <c r="D127" s="176"/>
      <c r="E127" s="176"/>
      <c r="F127" s="180" t="s">
        <v>373</v>
      </c>
      <c r="G127" s="432">
        <v>33100</v>
      </c>
    </row>
    <row r="128" spans="1:7" ht="20.100000000000001" customHeight="1">
      <c r="A128" s="478"/>
      <c r="B128" s="176"/>
      <c r="C128" s="176"/>
      <c r="D128" s="176"/>
      <c r="E128" s="176"/>
      <c r="F128" s="180"/>
      <c r="G128" s="702"/>
    </row>
    <row r="129" spans="1:7" ht="20.100000000000001" customHeight="1">
      <c r="A129" s="479" t="s">
        <v>374</v>
      </c>
      <c r="B129" s="176"/>
      <c r="C129" s="176"/>
      <c r="D129" s="176"/>
      <c r="E129" s="176"/>
      <c r="F129" s="180"/>
      <c r="G129" s="700">
        <f>SUM(G124:G127)</f>
        <v>700600</v>
      </c>
    </row>
    <row r="130" spans="1:7" ht="20.100000000000001" customHeight="1">
      <c r="A130" s="478"/>
      <c r="B130" s="176"/>
      <c r="C130" s="176"/>
      <c r="D130" s="176"/>
      <c r="E130" s="176"/>
      <c r="F130" s="180"/>
      <c r="G130" s="194"/>
    </row>
    <row r="131" spans="1:7" ht="20.100000000000001" customHeight="1">
      <c r="A131" s="822" t="s">
        <v>375</v>
      </c>
      <c r="B131" s="823"/>
      <c r="C131" s="823"/>
      <c r="D131" s="823"/>
      <c r="E131" s="823"/>
      <c r="F131" s="824"/>
      <c r="G131" s="703"/>
    </row>
    <row r="132" spans="1:7" ht="20.100000000000001" customHeight="1">
      <c r="A132" s="478"/>
      <c r="B132" s="176"/>
      <c r="C132" s="176"/>
      <c r="D132" s="176"/>
      <c r="E132" s="176"/>
      <c r="F132" s="180"/>
      <c r="G132" s="194"/>
    </row>
    <row r="133" spans="1:7" ht="20.100000000000001" customHeight="1">
      <c r="A133" s="478" t="s">
        <v>376</v>
      </c>
      <c r="B133" s="176"/>
      <c r="C133" s="176"/>
      <c r="D133" s="487"/>
      <c r="E133" s="187"/>
      <c r="F133" s="1054" t="s">
        <v>377</v>
      </c>
      <c r="G133" s="432">
        <v>0</v>
      </c>
    </row>
    <row r="134" spans="1:7" ht="20.100000000000001" customHeight="1">
      <c r="A134" s="478" t="s">
        <v>681</v>
      </c>
      <c r="B134" s="176"/>
      <c r="C134" s="176"/>
      <c r="D134" s="487"/>
      <c r="E134" s="187"/>
      <c r="F134" s="1124">
        <v>49200</v>
      </c>
      <c r="G134" s="432">
        <v>436297</v>
      </c>
    </row>
    <row r="135" spans="1:7" ht="20.100000000000001" customHeight="1">
      <c r="A135" s="478" t="s">
        <v>717</v>
      </c>
      <c r="B135" s="176"/>
      <c r="C135" s="176"/>
      <c r="D135" s="176"/>
      <c r="E135" s="176"/>
      <c r="F135" s="1012" t="s">
        <v>378</v>
      </c>
      <c r="G135" s="432">
        <v>0</v>
      </c>
    </row>
    <row r="136" spans="1:7" ht="20.100000000000001" customHeight="1">
      <c r="A136" s="478" t="s">
        <v>379</v>
      </c>
      <c r="B136" s="176"/>
      <c r="C136" s="176"/>
      <c r="D136" s="176"/>
      <c r="E136" s="176"/>
      <c r="F136" s="179">
        <v>49520</v>
      </c>
      <c r="G136" s="432">
        <v>0</v>
      </c>
    </row>
    <row r="137" spans="1:7" ht="20.100000000000001" customHeight="1">
      <c r="A137" s="985" t="s">
        <v>674</v>
      </c>
      <c r="B137" s="176"/>
      <c r="C137" s="176"/>
      <c r="D137" s="176"/>
      <c r="E137" s="176"/>
      <c r="F137" s="195">
        <v>49521</v>
      </c>
      <c r="G137" s="432">
        <v>0</v>
      </c>
    </row>
    <row r="138" spans="1:7" ht="20.100000000000001" customHeight="1">
      <c r="A138" s="478" t="s">
        <v>380</v>
      </c>
      <c r="B138" s="176"/>
      <c r="C138" s="176"/>
      <c r="D138" s="176"/>
      <c r="E138" s="176"/>
      <c r="F138" s="180" t="s">
        <v>381</v>
      </c>
      <c r="G138" s="432">
        <v>0</v>
      </c>
    </row>
    <row r="139" spans="1:7" ht="20.100000000000001" customHeight="1">
      <c r="A139" s="478" t="s">
        <v>382</v>
      </c>
      <c r="B139" s="176"/>
      <c r="C139" s="176"/>
      <c r="D139" s="176"/>
      <c r="E139" s="176"/>
      <c r="F139" s="180" t="s">
        <v>383</v>
      </c>
      <c r="G139" s="432">
        <v>-100</v>
      </c>
    </row>
    <row r="140" spans="1:7" ht="20.100000000000001" customHeight="1">
      <c r="A140" s="478"/>
      <c r="B140" s="176"/>
      <c r="C140" s="176"/>
      <c r="D140" s="176"/>
      <c r="E140" s="176"/>
      <c r="F140" s="180"/>
      <c r="G140" s="702"/>
    </row>
    <row r="141" spans="1:7" ht="20.100000000000001" customHeight="1">
      <c r="A141" s="479" t="s">
        <v>384</v>
      </c>
      <c r="B141" s="176"/>
      <c r="C141" s="176"/>
      <c r="D141" s="176"/>
      <c r="E141" s="176"/>
      <c r="F141" s="180"/>
      <c r="G141" s="700">
        <f>SUM(G133:G139)</f>
        <v>436197</v>
      </c>
    </row>
    <row r="142" spans="1:7" ht="20.100000000000001" customHeight="1">
      <c r="A142" s="478"/>
      <c r="B142" s="176"/>
      <c r="C142" s="176"/>
      <c r="D142" s="176"/>
      <c r="E142" s="176"/>
      <c r="F142" s="180"/>
      <c r="G142" s="194"/>
    </row>
    <row r="143" spans="1:7" ht="20.100000000000001" customHeight="1" thickBot="1">
      <c r="A143" s="500" t="s">
        <v>385</v>
      </c>
      <c r="B143" s="501"/>
      <c r="C143" s="501"/>
      <c r="D143" s="501"/>
      <c r="E143" s="501"/>
      <c r="F143" s="502"/>
      <c r="G143" s="504">
        <f>G65+G73+G86+G97+G106+G116+G120+G129+G141</f>
        <v>62436906</v>
      </c>
    </row>
    <row r="144" spans="1:7" ht="20.100000000000001" customHeight="1" thickTop="1">
      <c r="A144" s="697"/>
      <c r="B144" s="544"/>
      <c r="C144" s="544"/>
      <c r="D144" s="544"/>
      <c r="E144" s="544"/>
      <c r="F144" s="592"/>
      <c r="G144" s="593"/>
    </row>
    <row r="145" spans="1:7" ht="20.100000000000001" customHeight="1">
      <c r="A145" s="822" t="s">
        <v>386</v>
      </c>
      <c r="B145" s="823"/>
      <c r="C145" s="823"/>
      <c r="D145" s="823"/>
      <c r="E145" s="823"/>
      <c r="F145" s="824"/>
      <c r="G145" s="708"/>
    </row>
    <row r="146" spans="1:7" ht="20.100000000000001" customHeight="1">
      <c r="A146" s="478"/>
      <c r="B146" s="176"/>
      <c r="C146" s="176"/>
      <c r="D146" s="176"/>
      <c r="E146" s="176"/>
      <c r="F146" s="180"/>
      <c r="G146" s="197"/>
    </row>
    <row r="147" spans="1:7" ht="20.100000000000001" customHeight="1">
      <c r="A147" s="478" t="s">
        <v>387</v>
      </c>
      <c r="B147" s="176"/>
      <c r="C147" s="176"/>
      <c r="D147" s="176"/>
      <c r="E147" s="176"/>
      <c r="F147" s="180" t="s">
        <v>388</v>
      </c>
      <c r="G147" s="434">
        <v>1241600</v>
      </c>
    </row>
    <row r="148" spans="1:7" ht="20.100000000000001" customHeight="1">
      <c r="A148" s="478" t="s">
        <v>389</v>
      </c>
      <c r="F148" s="180" t="s">
        <v>390</v>
      </c>
      <c r="G148" s="434">
        <f>258480+90000</f>
        <v>348480</v>
      </c>
    </row>
    <row r="149" spans="1:7" ht="20.100000000000001" customHeight="1">
      <c r="A149" s="478" t="s">
        <v>391</v>
      </c>
      <c r="F149" s="180" t="s">
        <v>392</v>
      </c>
      <c r="G149" s="434">
        <f>2728676+75000</f>
        <v>2803676</v>
      </c>
    </row>
    <row r="150" spans="1:7" ht="20.100000000000001" customHeight="1">
      <c r="A150" s="478" t="s">
        <v>393</v>
      </c>
      <c r="F150" s="180" t="s">
        <v>394</v>
      </c>
      <c r="G150" s="434">
        <v>0</v>
      </c>
    </row>
    <row r="151" spans="1:7" ht="20.100000000000001" customHeight="1">
      <c r="A151" s="478" t="s">
        <v>395</v>
      </c>
      <c r="F151" s="180" t="s">
        <v>396</v>
      </c>
      <c r="G151" s="434">
        <v>0</v>
      </c>
    </row>
    <row r="152" spans="1:7" ht="20.100000000000001" customHeight="1">
      <c r="A152" s="478" t="s">
        <v>397</v>
      </c>
      <c r="B152" s="176"/>
      <c r="C152" s="176"/>
      <c r="D152" s="176"/>
      <c r="E152" s="176"/>
      <c r="F152" s="180" t="s">
        <v>398</v>
      </c>
      <c r="G152" s="434">
        <f>8520720+650529</f>
        <v>9171249</v>
      </c>
    </row>
    <row r="153" spans="1:7" ht="20.100000000000001" customHeight="1">
      <c r="A153" s="478" t="s">
        <v>399</v>
      </c>
      <c r="B153" s="176"/>
      <c r="C153" s="176"/>
      <c r="D153" s="176"/>
      <c r="E153" s="176"/>
      <c r="F153" s="180" t="s">
        <v>400</v>
      </c>
      <c r="G153" s="434">
        <f>1957480+242000</f>
        <v>2199480</v>
      </c>
    </row>
    <row r="154" spans="1:7" ht="20.100000000000001" customHeight="1">
      <c r="A154" s="478" t="s">
        <v>401</v>
      </c>
      <c r="B154" s="176"/>
      <c r="C154" s="176"/>
      <c r="D154" s="176"/>
      <c r="E154" s="176"/>
      <c r="F154" s="180" t="s">
        <v>402</v>
      </c>
      <c r="G154" s="434">
        <f>9500+1000</f>
        <v>10500</v>
      </c>
    </row>
    <row r="155" spans="1:7" ht="20.100000000000001" customHeight="1">
      <c r="A155" s="478" t="s">
        <v>403</v>
      </c>
      <c r="B155" s="176"/>
      <c r="C155" s="176"/>
      <c r="D155" s="176"/>
      <c r="E155" s="176"/>
      <c r="F155" s="180" t="s">
        <v>404</v>
      </c>
      <c r="G155" s="434">
        <v>392935</v>
      </c>
    </row>
    <row r="156" spans="1:7" ht="20.100000000000001" customHeight="1">
      <c r="A156" s="478" t="s">
        <v>405</v>
      </c>
      <c r="B156" s="176"/>
      <c r="C156" s="176"/>
      <c r="D156" s="176"/>
      <c r="E156" s="176"/>
      <c r="F156" s="180" t="s">
        <v>406</v>
      </c>
      <c r="G156" s="434">
        <v>0</v>
      </c>
    </row>
    <row r="157" spans="1:7" ht="20.100000000000001" customHeight="1">
      <c r="A157" s="478" t="s">
        <v>407</v>
      </c>
      <c r="B157" s="176"/>
      <c r="C157" s="176"/>
      <c r="D157" s="176"/>
      <c r="E157" s="176"/>
      <c r="F157" s="179">
        <v>52500</v>
      </c>
      <c r="G157" s="434">
        <v>0</v>
      </c>
    </row>
    <row r="158" spans="1:7" ht="20.100000000000001" customHeight="1">
      <c r="A158" s="478" t="s">
        <v>408</v>
      </c>
      <c r="B158" s="176"/>
      <c r="C158" s="176"/>
      <c r="D158" s="176"/>
      <c r="E158" s="176"/>
      <c r="F158" s="180" t="s">
        <v>409</v>
      </c>
      <c r="G158" s="434">
        <v>0</v>
      </c>
    </row>
    <row r="159" spans="1:7" ht="20.100000000000001" customHeight="1">
      <c r="A159" s="478" t="s">
        <v>410</v>
      </c>
      <c r="B159" s="176"/>
      <c r="C159" s="176"/>
      <c r="D159" s="176"/>
      <c r="E159" s="176"/>
      <c r="F159" s="180" t="s">
        <v>411</v>
      </c>
      <c r="G159" s="434">
        <v>0</v>
      </c>
    </row>
    <row r="160" spans="1:7" ht="20.100000000000001" customHeight="1">
      <c r="A160" s="478" t="s">
        <v>412</v>
      </c>
      <c r="B160" s="176"/>
      <c r="C160" s="176"/>
      <c r="D160" s="176"/>
      <c r="E160" s="176"/>
      <c r="F160" s="180" t="s">
        <v>413</v>
      </c>
      <c r="G160" s="434">
        <v>0</v>
      </c>
    </row>
    <row r="161" spans="1:7" ht="20.100000000000001" customHeight="1">
      <c r="A161" s="478" t="s">
        <v>414</v>
      </c>
      <c r="B161" s="176"/>
      <c r="C161" s="176"/>
      <c r="D161" s="176"/>
      <c r="E161" s="176"/>
      <c r="F161" s="180" t="s">
        <v>415</v>
      </c>
      <c r="G161" s="434">
        <v>0</v>
      </c>
    </row>
    <row r="162" spans="1:7" ht="20.100000000000001" customHeight="1">
      <c r="A162" s="478" t="s">
        <v>416</v>
      </c>
      <c r="B162" s="176"/>
      <c r="C162" s="176"/>
      <c r="D162" s="176"/>
      <c r="E162" s="176"/>
      <c r="F162" s="180" t="s">
        <v>417</v>
      </c>
      <c r="G162" s="434">
        <f>5005306+65000</f>
        <v>5070306</v>
      </c>
    </row>
    <row r="163" spans="1:7" ht="20.100000000000001" customHeight="1">
      <c r="A163" s="478" t="s">
        <v>418</v>
      </c>
      <c r="B163" s="176"/>
      <c r="C163" s="176"/>
      <c r="D163" s="176"/>
      <c r="E163" s="176"/>
      <c r="F163" s="180" t="s">
        <v>419</v>
      </c>
      <c r="G163" s="434">
        <v>380422</v>
      </c>
    </row>
    <row r="164" spans="1:7" ht="20.100000000000001" customHeight="1">
      <c r="A164" s="478" t="s">
        <v>420</v>
      </c>
      <c r="B164" s="176"/>
      <c r="C164" s="176"/>
      <c r="D164" s="176"/>
      <c r="E164" s="176"/>
      <c r="F164" s="180" t="s">
        <v>421</v>
      </c>
      <c r="G164" s="434">
        <v>864137</v>
      </c>
    </row>
    <row r="165" spans="1:7" ht="20.100000000000001" customHeight="1">
      <c r="A165" s="478" t="s">
        <v>422</v>
      </c>
      <c r="B165" s="176"/>
      <c r="C165" s="176"/>
      <c r="D165" s="176"/>
      <c r="E165" s="176"/>
      <c r="F165" s="180" t="s">
        <v>423</v>
      </c>
      <c r="G165" s="434">
        <v>0</v>
      </c>
    </row>
    <row r="166" spans="1:7" ht="20.100000000000001" customHeight="1">
      <c r="A166" s="478" t="s">
        <v>424</v>
      </c>
      <c r="B166" s="176"/>
      <c r="C166" s="176"/>
      <c r="D166" s="176"/>
      <c r="E166" s="176"/>
      <c r="F166" s="180" t="s">
        <v>425</v>
      </c>
      <c r="G166" s="434">
        <v>0</v>
      </c>
    </row>
    <row r="167" spans="1:7" ht="20.100000000000001" customHeight="1">
      <c r="A167" s="478" t="s">
        <v>426</v>
      </c>
      <c r="B167" s="176"/>
      <c r="C167" s="176"/>
      <c r="D167" s="176"/>
      <c r="E167" s="176"/>
      <c r="F167" s="180" t="s">
        <v>427</v>
      </c>
      <c r="G167" s="434">
        <v>4435797</v>
      </c>
    </row>
    <row r="168" spans="1:7" ht="20.100000000000001" customHeight="1">
      <c r="A168" s="478" t="s">
        <v>428</v>
      </c>
      <c r="B168" s="176"/>
      <c r="C168" s="176"/>
      <c r="D168" s="176"/>
      <c r="E168" s="176"/>
      <c r="F168" s="180" t="s">
        <v>429</v>
      </c>
      <c r="G168" s="434">
        <v>15000</v>
      </c>
    </row>
    <row r="169" spans="1:7" ht="20.100000000000001" customHeight="1">
      <c r="A169" s="478" t="s">
        <v>430</v>
      </c>
      <c r="B169" s="176"/>
      <c r="C169" s="176"/>
      <c r="D169" s="176"/>
      <c r="E169" s="176"/>
      <c r="F169" s="180" t="s">
        <v>431</v>
      </c>
      <c r="G169" s="434">
        <v>143583</v>
      </c>
    </row>
    <row r="170" spans="1:7" ht="20.100000000000001" customHeight="1">
      <c r="A170" s="478" t="s">
        <v>432</v>
      </c>
      <c r="B170" s="176"/>
      <c r="C170" s="176"/>
      <c r="D170" s="176"/>
      <c r="E170" s="176"/>
      <c r="F170" s="180" t="s">
        <v>433</v>
      </c>
      <c r="G170" s="434">
        <v>0</v>
      </c>
    </row>
    <row r="171" spans="1:7" ht="20.100000000000001" customHeight="1">
      <c r="A171" s="478" t="s">
        <v>434</v>
      </c>
      <c r="B171" s="176"/>
      <c r="C171" s="176"/>
      <c r="D171" s="176"/>
      <c r="E171" s="176"/>
      <c r="F171" s="180" t="s">
        <v>435</v>
      </c>
      <c r="G171" s="434">
        <v>0</v>
      </c>
    </row>
    <row r="172" spans="1:7" ht="20.100000000000001" customHeight="1">
      <c r="A172" s="478" t="s">
        <v>436</v>
      </c>
      <c r="B172" s="176"/>
      <c r="C172" s="176"/>
      <c r="D172" s="176"/>
      <c r="E172" s="176"/>
      <c r="F172" s="179">
        <v>56001</v>
      </c>
      <c r="G172" s="434">
        <v>0</v>
      </c>
    </row>
    <row r="173" spans="1:7" ht="20.100000000000001" customHeight="1">
      <c r="A173" s="478" t="s">
        <v>437</v>
      </c>
      <c r="B173" s="176"/>
      <c r="C173" s="176"/>
      <c r="D173" s="176"/>
      <c r="E173" s="176"/>
      <c r="F173" s="179">
        <v>56002</v>
      </c>
      <c r="G173" s="434">
        <v>0</v>
      </c>
    </row>
    <row r="174" spans="1:7" ht="20.100000000000001" customHeight="1">
      <c r="A174" s="478" t="s">
        <v>438</v>
      </c>
      <c r="B174" s="176"/>
      <c r="C174" s="176"/>
      <c r="D174" s="176"/>
      <c r="E174" s="176"/>
      <c r="F174" s="179">
        <v>56003</v>
      </c>
      <c r="G174" s="434">
        <v>0</v>
      </c>
    </row>
    <row r="175" spans="1:7" ht="20.100000000000001" customHeight="1">
      <c r="A175" s="478" t="s">
        <v>439</v>
      </c>
      <c r="B175" s="176"/>
      <c r="C175" s="176"/>
      <c r="D175" s="176"/>
      <c r="E175" s="176"/>
      <c r="F175" s="198" t="s">
        <v>440</v>
      </c>
      <c r="G175" s="434">
        <v>1500</v>
      </c>
    </row>
    <row r="176" spans="1:7" ht="20.100000000000001" customHeight="1">
      <c r="A176" s="478" t="s">
        <v>441</v>
      </c>
      <c r="B176" s="176"/>
      <c r="C176" s="176"/>
      <c r="D176" s="176"/>
      <c r="E176" s="176"/>
      <c r="F176" s="180" t="s">
        <v>442</v>
      </c>
      <c r="G176" s="434">
        <f>3312195+357000</f>
        <v>3669195</v>
      </c>
    </row>
    <row r="177" spans="1:7" ht="20.100000000000001" customHeight="1">
      <c r="A177" s="486" t="s">
        <v>443</v>
      </c>
      <c r="F177" s="195" t="s">
        <v>444</v>
      </c>
      <c r="G177" s="434">
        <v>0</v>
      </c>
    </row>
    <row r="178" spans="1:7" ht="20.100000000000001" customHeight="1">
      <c r="A178" s="478" t="s">
        <v>445</v>
      </c>
      <c r="B178" s="176"/>
      <c r="C178" s="176"/>
      <c r="D178" s="176"/>
      <c r="E178" s="176"/>
      <c r="F178" s="180" t="s">
        <v>446</v>
      </c>
      <c r="G178" s="434">
        <v>5000</v>
      </c>
    </row>
    <row r="179" spans="1:7" ht="20.100000000000001" customHeight="1">
      <c r="A179" s="478" t="s">
        <v>447</v>
      </c>
      <c r="B179" s="176"/>
      <c r="C179" s="176"/>
      <c r="D179" s="176"/>
      <c r="E179" s="176"/>
      <c r="F179" s="180" t="s">
        <v>448</v>
      </c>
      <c r="G179" s="434">
        <v>140000</v>
      </c>
    </row>
    <row r="180" spans="1:7" ht="20.100000000000001" customHeight="1">
      <c r="A180" s="478" t="s">
        <v>449</v>
      </c>
      <c r="B180" s="176"/>
      <c r="C180" s="176"/>
      <c r="D180" s="176"/>
      <c r="E180" s="176"/>
      <c r="F180" s="180" t="s">
        <v>450</v>
      </c>
      <c r="G180" s="434">
        <v>0</v>
      </c>
    </row>
    <row r="181" spans="1:7" ht="20.100000000000001" customHeight="1">
      <c r="A181" s="478" t="s">
        <v>451</v>
      </c>
      <c r="B181" s="176"/>
      <c r="C181" s="176"/>
      <c r="D181" s="176"/>
      <c r="E181" s="176"/>
      <c r="F181" s="180" t="s">
        <v>452</v>
      </c>
      <c r="G181" s="434">
        <v>15000</v>
      </c>
    </row>
    <row r="182" spans="1:7" ht="20.100000000000001" customHeight="1">
      <c r="A182" s="478" t="s">
        <v>453</v>
      </c>
      <c r="B182" s="176"/>
      <c r="C182" s="176"/>
      <c r="D182" s="176"/>
      <c r="E182" s="176"/>
      <c r="F182" s="180" t="s">
        <v>454</v>
      </c>
      <c r="G182" s="434">
        <v>20000</v>
      </c>
    </row>
    <row r="183" spans="1:7" ht="20.100000000000001" customHeight="1">
      <c r="A183" s="478" t="s">
        <v>455</v>
      </c>
      <c r="B183" s="176"/>
      <c r="C183" s="176"/>
      <c r="D183" s="176"/>
      <c r="E183" s="176"/>
      <c r="F183" s="180" t="s">
        <v>456</v>
      </c>
      <c r="G183" s="434">
        <v>0</v>
      </c>
    </row>
    <row r="184" spans="1:7" ht="20.100000000000001" customHeight="1">
      <c r="A184" s="478" t="s">
        <v>457</v>
      </c>
      <c r="B184" s="176"/>
      <c r="C184" s="176"/>
      <c r="D184" s="176"/>
      <c r="E184" s="176"/>
      <c r="F184" s="180" t="s">
        <v>458</v>
      </c>
      <c r="G184" s="434">
        <f>2062153+78504</f>
        <v>2140657</v>
      </c>
    </row>
    <row r="185" spans="1:7" ht="20.100000000000001" customHeight="1">
      <c r="A185" s="478" t="s">
        <v>459</v>
      </c>
      <c r="B185" s="176"/>
      <c r="C185" s="176"/>
      <c r="D185" s="176"/>
      <c r="E185" s="176"/>
      <c r="F185" s="180" t="s">
        <v>460</v>
      </c>
      <c r="G185" s="434">
        <f>3885897+2500000-3400000+138482</f>
        <v>3124379</v>
      </c>
    </row>
    <row r="186" spans="1:7" ht="20.100000000000001" customHeight="1">
      <c r="A186" s="478" t="s">
        <v>461</v>
      </c>
      <c r="B186" s="176"/>
      <c r="C186" s="176"/>
      <c r="D186" s="176"/>
      <c r="E186" s="176"/>
      <c r="F186" s="180" t="s">
        <v>462</v>
      </c>
      <c r="G186" s="434">
        <v>340000</v>
      </c>
    </row>
    <row r="187" spans="1:7" ht="20.100000000000001" customHeight="1">
      <c r="A187" s="478" t="s">
        <v>463</v>
      </c>
      <c r="B187" s="176"/>
      <c r="C187" s="176"/>
      <c r="D187" s="176"/>
      <c r="E187" s="176"/>
      <c r="F187" s="180" t="s">
        <v>464</v>
      </c>
      <c r="G187" s="434">
        <v>800000</v>
      </c>
    </row>
    <row r="188" spans="1:7" ht="20.100000000000001" customHeight="1">
      <c r="A188" s="478" t="s">
        <v>465</v>
      </c>
      <c r="B188" s="176"/>
      <c r="C188" s="176"/>
      <c r="D188" s="176"/>
      <c r="E188" s="176"/>
      <c r="F188" s="180" t="s">
        <v>466</v>
      </c>
      <c r="G188" s="434">
        <f>20000+1500</f>
        <v>21500</v>
      </c>
    </row>
    <row r="189" spans="1:7" ht="20.100000000000001" customHeight="1">
      <c r="A189" s="478" t="s">
        <v>467</v>
      </c>
      <c r="B189" s="176"/>
      <c r="C189" s="176"/>
      <c r="D189" s="176"/>
      <c r="E189" s="176"/>
      <c r="F189" s="195">
        <v>59600</v>
      </c>
      <c r="G189" s="434">
        <v>0</v>
      </c>
    </row>
    <row r="190" spans="1:7" ht="20.100000000000001" customHeight="1">
      <c r="A190" s="478" t="s">
        <v>468</v>
      </c>
      <c r="B190" s="176"/>
      <c r="C190" s="176"/>
      <c r="D190" s="176"/>
      <c r="E190" s="176"/>
      <c r="F190" s="180" t="s">
        <v>469</v>
      </c>
      <c r="G190" s="434">
        <f>8123750+190345</f>
        <v>8314095</v>
      </c>
    </row>
    <row r="191" spans="1:7" ht="20.100000000000001" customHeight="1">
      <c r="A191" s="478" t="s">
        <v>718</v>
      </c>
      <c r="B191" s="176"/>
      <c r="C191" s="176"/>
      <c r="D191" s="176"/>
      <c r="E191" s="176"/>
      <c r="F191" s="180" t="s">
        <v>471</v>
      </c>
      <c r="G191" s="434">
        <v>0</v>
      </c>
    </row>
    <row r="192" spans="1:7" ht="20.100000000000001" customHeight="1">
      <c r="A192" s="478" t="s">
        <v>472</v>
      </c>
      <c r="B192" s="176"/>
      <c r="C192" s="176"/>
      <c r="D192" s="176"/>
      <c r="E192" s="176"/>
      <c r="F192" s="180" t="s">
        <v>473</v>
      </c>
      <c r="G192" s="434">
        <f>1000000-992126</f>
        <v>7874</v>
      </c>
    </row>
    <row r="193" spans="1:7" ht="20.100000000000001" customHeight="1">
      <c r="A193" s="478"/>
      <c r="B193" s="176"/>
      <c r="C193" s="176"/>
      <c r="D193" s="176"/>
      <c r="E193" s="176"/>
      <c r="F193" s="180"/>
      <c r="G193" s="709"/>
    </row>
    <row r="194" spans="1:7" ht="20.100000000000001" customHeight="1">
      <c r="A194" s="491" t="s">
        <v>474</v>
      </c>
      <c r="B194" s="492"/>
      <c r="C194" s="492"/>
      <c r="D194" s="492"/>
      <c r="E194" s="492"/>
      <c r="F194" s="498"/>
      <c r="G194" s="499">
        <f>SUM(G147:G192)</f>
        <v>45676365</v>
      </c>
    </row>
    <row r="195" spans="1:7" ht="20.100000000000001" customHeight="1">
      <c r="A195" s="488"/>
      <c r="B195" s="199"/>
      <c r="C195" s="199"/>
      <c r="D195" s="199"/>
      <c r="E195" s="199"/>
      <c r="F195" s="212"/>
      <c r="G195" s="200"/>
    </row>
    <row r="196" spans="1:7" ht="20.100000000000001" customHeight="1">
      <c r="A196" s="710" t="s">
        <v>475</v>
      </c>
      <c r="B196" s="573"/>
      <c r="C196" s="573"/>
      <c r="D196" s="573"/>
      <c r="E196" s="573"/>
      <c r="F196" s="696"/>
      <c r="G196" s="711"/>
    </row>
    <row r="197" spans="1:7" ht="20.100000000000001" customHeight="1">
      <c r="A197" s="478"/>
      <c r="B197" s="176"/>
      <c r="C197" s="176"/>
      <c r="D197" s="176"/>
      <c r="E197" s="176"/>
      <c r="F197" s="180"/>
      <c r="G197" s="197"/>
    </row>
    <row r="198" spans="1:7" ht="20.100000000000001" customHeight="1">
      <c r="A198" s="478" t="s">
        <v>476</v>
      </c>
      <c r="B198" s="176"/>
      <c r="C198" s="176"/>
      <c r="D198" s="176"/>
      <c r="E198" s="176"/>
      <c r="F198" s="180" t="s">
        <v>477</v>
      </c>
      <c r="G198" s="434">
        <f>403821+10197</f>
        <v>414018</v>
      </c>
    </row>
    <row r="199" spans="1:7" ht="20.100000000000001" customHeight="1">
      <c r="A199" s="478" t="s">
        <v>478</v>
      </c>
      <c r="B199" s="176"/>
      <c r="C199" s="176"/>
      <c r="D199" s="176"/>
      <c r="E199" s="176"/>
      <c r="F199" s="180" t="s">
        <v>479</v>
      </c>
      <c r="G199" s="434">
        <f>47919+136</f>
        <v>48055</v>
      </c>
    </row>
    <row r="200" spans="1:7" ht="20.100000000000001" customHeight="1">
      <c r="A200" s="478" t="s">
        <v>480</v>
      </c>
      <c r="B200" s="176"/>
      <c r="C200" s="176"/>
      <c r="D200" s="176"/>
      <c r="E200" s="176"/>
      <c r="F200" s="180" t="s">
        <v>481</v>
      </c>
      <c r="G200" s="434">
        <v>276044</v>
      </c>
    </row>
    <row r="201" spans="1:7" ht="20.100000000000001" customHeight="1">
      <c r="A201" s="478" t="s">
        <v>482</v>
      </c>
      <c r="B201" s="176"/>
      <c r="C201" s="176"/>
      <c r="D201" s="176"/>
      <c r="E201" s="176"/>
      <c r="F201" s="180" t="s">
        <v>483</v>
      </c>
      <c r="G201" s="434">
        <f>197328+4437</f>
        <v>201765</v>
      </c>
    </row>
    <row r="202" spans="1:7" ht="20.100000000000001" customHeight="1">
      <c r="A202" s="478" t="s">
        <v>484</v>
      </c>
      <c r="B202" s="176"/>
      <c r="C202" s="176"/>
      <c r="D202" s="176"/>
      <c r="E202" s="176"/>
      <c r="F202" s="180" t="s">
        <v>485</v>
      </c>
      <c r="G202" s="434">
        <v>2509275</v>
      </c>
    </row>
    <row r="203" spans="1:7" ht="20.100000000000001" customHeight="1">
      <c r="A203" s="478" t="s">
        <v>719</v>
      </c>
      <c r="B203" s="176"/>
      <c r="C203" s="176"/>
      <c r="D203" s="176"/>
      <c r="E203" s="176"/>
      <c r="F203" s="180" t="s">
        <v>487</v>
      </c>
      <c r="G203" s="434">
        <v>57104</v>
      </c>
    </row>
    <row r="204" spans="1:7" ht="20.100000000000001" customHeight="1">
      <c r="A204" s="478" t="s">
        <v>673</v>
      </c>
      <c r="B204" s="176"/>
      <c r="C204" s="176"/>
      <c r="D204" s="176"/>
      <c r="E204" s="176"/>
      <c r="F204" s="970">
        <v>63100</v>
      </c>
      <c r="G204" s="434">
        <v>0</v>
      </c>
    </row>
    <row r="205" spans="1:7" ht="20.100000000000001" customHeight="1">
      <c r="A205" s="478" t="s">
        <v>488</v>
      </c>
      <c r="B205" s="176"/>
      <c r="C205" s="176"/>
      <c r="D205" s="176"/>
      <c r="E205" s="176"/>
      <c r="F205" s="180" t="s">
        <v>489</v>
      </c>
      <c r="G205" s="434">
        <v>1379000</v>
      </c>
    </row>
    <row r="206" spans="1:7" ht="20.100000000000001" customHeight="1">
      <c r="A206" s="478" t="s">
        <v>490</v>
      </c>
      <c r="B206" s="176"/>
      <c r="C206" s="176"/>
      <c r="D206" s="176"/>
      <c r="E206" s="176"/>
      <c r="F206" s="180" t="s">
        <v>491</v>
      </c>
      <c r="G206" s="434">
        <v>1743500</v>
      </c>
    </row>
    <row r="207" spans="1:7" ht="20.100000000000001" customHeight="1">
      <c r="A207" s="478" t="s">
        <v>492</v>
      </c>
      <c r="B207" s="176"/>
      <c r="C207" s="176"/>
      <c r="D207" s="176"/>
      <c r="E207" s="176"/>
      <c r="F207" s="180" t="s">
        <v>493</v>
      </c>
      <c r="G207" s="434">
        <f>2209634+7843</f>
        <v>2217477</v>
      </c>
    </row>
    <row r="208" spans="1:7" ht="20.100000000000001" customHeight="1">
      <c r="A208" s="478" t="s">
        <v>670</v>
      </c>
      <c r="B208" s="176"/>
      <c r="C208" s="176"/>
      <c r="D208" s="176"/>
      <c r="E208" s="176"/>
      <c r="F208" s="180" t="s">
        <v>494</v>
      </c>
      <c r="G208" s="434">
        <v>0</v>
      </c>
    </row>
    <row r="209" spans="1:9" ht="20.100000000000001" customHeight="1">
      <c r="A209" s="478" t="s">
        <v>495</v>
      </c>
      <c r="B209" s="176"/>
      <c r="C209" s="176"/>
      <c r="D209" s="176"/>
      <c r="E209" s="176"/>
      <c r="F209" s="180" t="s">
        <v>496</v>
      </c>
      <c r="G209" s="434">
        <v>0</v>
      </c>
    </row>
    <row r="210" spans="1:9" ht="20.100000000000001" customHeight="1">
      <c r="A210" s="478" t="s">
        <v>497</v>
      </c>
      <c r="B210" s="176"/>
      <c r="C210" s="176"/>
      <c r="D210" s="176"/>
      <c r="E210" s="176"/>
      <c r="F210" s="180" t="s">
        <v>498</v>
      </c>
      <c r="G210" s="434">
        <f>582220+2945</f>
        <v>585165</v>
      </c>
    </row>
    <row r="211" spans="1:9" ht="20.100000000000001" customHeight="1">
      <c r="A211" s="478" t="s">
        <v>499</v>
      </c>
      <c r="B211" s="176"/>
      <c r="C211" s="176"/>
      <c r="D211" s="176"/>
      <c r="E211" s="176"/>
      <c r="F211" s="180" t="s">
        <v>500</v>
      </c>
      <c r="G211" s="434">
        <f>213103+17061</f>
        <v>230164</v>
      </c>
    </row>
    <row r="212" spans="1:9" ht="20.100000000000001" customHeight="1">
      <c r="A212" s="478" t="s">
        <v>501</v>
      </c>
      <c r="F212" s="195" t="s">
        <v>502</v>
      </c>
      <c r="G212" s="434">
        <f>2339786+105</f>
        <v>2339891</v>
      </c>
    </row>
    <row r="213" spans="1:9" ht="20.100000000000001" customHeight="1">
      <c r="A213" s="478" t="s">
        <v>503</v>
      </c>
      <c r="B213" s="176"/>
      <c r="C213" s="176"/>
      <c r="D213" s="176"/>
      <c r="E213" s="176"/>
      <c r="F213" s="180" t="s">
        <v>504</v>
      </c>
      <c r="G213" s="434">
        <v>162564</v>
      </c>
    </row>
    <row r="214" spans="1:9" ht="20.100000000000001" customHeight="1">
      <c r="A214" s="478" t="s">
        <v>505</v>
      </c>
      <c r="B214" s="176"/>
      <c r="C214" s="176"/>
      <c r="D214" s="176"/>
      <c r="E214" s="176"/>
      <c r="F214" s="180" t="s">
        <v>506</v>
      </c>
      <c r="G214" s="434">
        <v>63803</v>
      </c>
    </row>
    <row r="215" spans="1:9" ht="20.100000000000001" customHeight="1">
      <c r="A215" s="478" t="s">
        <v>507</v>
      </c>
      <c r="B215" s="176"/>
      <c r="C215" s="176"/>
      <c r="D215" s="176"/>
      <c r="E215" s="176"/>
      <c r="F215" s="180" t="s">
        <v>508</v>
      </c>
      <c r="G215" s="434">
        <f>162190+75752</f>
        <v>237942</v>
      </c>
    </row>
    <row r="216" spans="1:9" ht="20.100000000000001" customHeight="1">
      <c r="A216" s="478" t="s">
        <v>720</v>
      </c>
      <c r="B216" s="176"/>
      <c r="C216" s="176"/>
      <c r="D216" s="176"/>
      <c r="E216" s="176"/>
      <c r="F216" s="193" t="s">
        <v>509</v>
      </c>
      <c r="G216" s="434">
        <v>2879</v>
      </c>
    </row>
    <row r="217" spans="1:9" ht="20.100000000000001" customHeight="1">
      <c r="A217" s="478" t="s">
        <v>510</v>
      </c>
      <c r="B217" s="176"/>
      <c r="C217" s="176"/>
      <c r="D217" s="176"/>
      <c r="E217" s="176"/>
      <c r="F217" s="180" t="s">
        <v>511</v>
      </c>
      <c r="G217" s="434">
        <v>0</v>
      </c>
    </row>
    <row r="218" spans="1:9" ht="20.100000000000001" customHeight="1">
      <c r="A218" s="478" t="s">
        <v>512</v>
      </c>
      <c r="B218" s="176"/>
      <c r="C218" s="176"/>
      <c r="D218" s="176"/>
      <c r="E218" s="176"/>
      <c r="F218" s="180" t="s">
        <v>513</v>
      </c>
      <c r="G218" s="434">
        <v>0</v>
      </c>
    </row>
    <row r="219" spans="1:9" ht="20.100000000000001" customHeight="1">
      <c r="A219" s="478" t="s">
        <v>514</v>
      </c>
      <c r="B219" s="176"/>
      <c r="C219" s="176"/>
      <c r="D219" s="176"/>
      <c r="E219" s="176"/>
      <c r="F219" s="180" t="s">
        <v>515</v>
      </c>
      <c r="G219" s="434">
        <f>624288+45125</f>
        <v>669413</v>
      </c>
    </row>
    <row r="220" spans="1:9" ht="20.100000000000001" customHeight="1">
      <c r="A220" s="478" t="s">
        <v>516</v>
      </c>
      <c r="B220" s="176"/>
      <c r="C220" s="176"/>
      <c r="D220" s="176"/>
      <c r="E220" s="176"/>
      <c r="F220" s="180" t="s">
        <v>517</v>
      </c>
      <c r="G220" s="434">
        <v>0</v>
      </c>
    </row>
    <row r="221" spans="1:9" ht="20.100000000000001" customHeight="1">
      <c r="A221" s="478" t="s">
        <v>518</v>
      </c>
      <c r="B221" s="176"/>
      <c r="C221" s="176"/>
      <c r="D221" s="176"/>
      <c r="E221" s="176"/>
      <c r="F221" s="180" t="s">
        <v>519</v>
      </c>
      <c r="G221" s="434">
        <v>0</v>
      </c>
    </row>
    <row r="222" spans="1:9" ht="20.100000000000001" customHeight="1">
      <c r="A222" s="489" t="s">
        <v>682</v>
      </c>
      <c r="B222" s="176"/>
      <c r="C222" s="176"/>
      <c r="D222" s="201"/>
      <c r="E222" s="176"/>
      <c r="F222" s="1056">
        <v>69100</v>
      </c>
      <c r="G222" s="434">
        <v>0</v>
      </c>
    </row>
    <row r="223" spans="1:9" ht="20.100000000000001" customHeight="1">
      <c r="A223" s="489" t="s">
        <v>683</v>
      </c>
      <c r="B223" s="202"/>
      <c r="C223" s="202"/>
      <c r="D223" s="203"/>
      <c r="E223" s="202"/>
      <c r="F223" s="1055">
        <v>69200</v>
      </c>
      <c r="G223" s="434">
        <v>1530501</v>
      </c>
    </row>
    <row r="224" spans="1:9" ht="20.100000000000001" customHeight="1">
      <c r="A224" s="478" t="s">
        <v>520</v>
      </c>
      <c r="B224" s="176"/>
      <c r="C224" s="176"/>
      <c r="D224" s="176"/>
      <c r="E224" s="176"/>
      <c r="F224" s="180" t="s">
        <v>521</v>
      </c>
      <c r="G224" s="434">
        <v>1741749</v>
      </c>
      <c r="I224" s="204"/>
    </row>
    <row r="225" spans="1:7" ht="20.100000000000001" customHeight="1">
      <c r="A225" s="478" t="s">
        <v>522</v>
      </c>
      <c r="B225" s="176"/>
      <c r="C225" s="176"/>
      <c r="D225" s="176"/>
      <c r="E225" s="176"/>
      <c r="F225" s="180" t="s">
        <v>523</v>
      </c>
      <c r="G225" s="434">
        <v>0</v>
      </c>
    </row>
    <row r="226" spans="1:7" ht="20.100000000000001" customHeight="1">
      <c r="A226" s="478" t="s">
        <v>524</v>
      </c>
      <c r="B226" s="176"/>
      <c r="C226" s="176"/>
      <c r="D226" s="176"/>
      <c r="E226" s="176"/>
      <c r="F226" s="180" t="s">
        <v>525</v>
      </c>
      <c r="G226" s="1038">
        <v>350232</v>
      </c>
    </row>
    <row r="227" spans="1:7" ht="20.100000000000001" customHeight="1">
      <c r="A227" s="478"/>
      <c r="B227" s="176"/>
      <c r="C227" s="176"/>
      <c r="D227" s="176"/>
      <c r="E227" s="176"/>
      <c r="F227" s="180"/>
      <c r="G227" s="205"/>
    </row>
    <row r="228" spans="1:7" ht="20.100000000000001" customHeight="1">
      <c r="A228" s="707" t="s">
        <v>526</v>
      </c>
      <c r="B228" s="544"/>
      <c r="C228" s="544"/>
      <c r="D228" s="544"/>
      <c r="E228" s="544"/>
      <c r="F228" s="545"/>
      <c r="G228" s="594">
        <f>SUM(G198:G226)</f>
        <v>16760541</v>
      </c>
    </row>
    <row r="229" spans="1:7" ht="20.100000000000001" customHeight="1">
      <c r="A229" s="488"/>
      <c r="B229" s="199"/>
      <c r="C229" s="199"/>
      <c r="D229" s="199"/>
      <c r="E229" s="199"/>
      <c r="F229" s="549"/>
      <c r="G229" s="550"/>
    </row>
    <row r="230" spans="1:7" ht="20.100000000000001" customHeight="1">
      <c r="A230" s="822" t="s">
        <v>154</v>
      </c>
      <c r="B230" s="823"/>
      <c r="C230" s="823"/>
      <c r="D230" s="823"/>
      <c r="E230" s="823"/>
      <c r="F230" s="824"/>
      <c r="G230" s="712"/>
    </row>
    <row r="231" spans="1:7" ht="20.100000000000001" customHeight="1">
      <c r="A231" s="478"/>
      <c r="B231" s="176"/>
      <c r="C231" s="176"/>
      <c r="D231" s="176"/>
      <c r="E231" s="176"/>
      <c r="F231" s="180"/>
      <c r="G231" s="205"/>
    </row>
    <row r="232" spans="1:7" ht="20.100000000000001" customHeight="1">
      <c r="A232" s="478" t="s">
        <v>527</v>
      </c>
      <c r="B232" s="176"/>
      <c r="C232" s="176"/>
      <c r="D232" s="176"/>
      <c r="E232" s="176"/>
      <c r="F232" s="180" t="s">
        <v>528</v>
      </c>
      <c r="G232" s="434">
        <v>0</v>
      </c>
    </row>
    <row r="233" spans="1:7" ht="20.100000000000001" customHeight="1">
      <c r="A233" s="478" t="s">
        <v>529</v>
      </c>
      <c r="B233" s="176"/>
      <c r="C233" s="176"/>
      <c r="D233" s="176"/>
      <c r="E233" s="176"/>
      <c r="F233" s="180" t="s">
        <v>530</v>
      </c>
      <c r="G233" s="434">
        <v>0</v>
      </c>
    </row>
    <row r="234" spans="1:7" ht="20.100000000000001" customHeight="1">
      <c r="A234" s="478" t="s">
        <v>531</v>
      </c>
      <c r="B234" s="176"/>
      <c r="C234" s="176"/>
      <c r="D234" s="176"/>
      <c r="E234" s="176"/>
      <c r="F234" s="180" t="s">
        <v>532</v>
      </c>
      <c r="G234" s="434">
        <v>0</v>
      </c>
    </row>
    <row r="235" spans="1:7" ht="20.100000000000001" customHeight="1">
      <c r="A235" s="478" t="s">
        <v>533</v>
      </c>
      <c r="B235" s="176"/>
      <c r="C235" s="176"/>
      <c r="D235" s="176"/>
      <c r="E235" s="176"/>
      <c r="F235" s="1012" t="s">
        <v>534</v>
      </c>
      <c r="G235" s="434">
        <v>0</v>
      </c>
    </row>
    <row r="236" spans="1:7" ht="20.100000000000001" customHeight="1">
      <c r="A236" s="478" t="s">
        <v>708</v>
      </c>
      <c r="B236" s="176"/>
      <c r="C236" s="176"/>
      <c r="D236" s="176"/>
      <c r="E236" s="176"/>
      <c r="F236" s="195">
        <v>73001</v>
      </c>
      <c r="G236" s="434">
        <v>0</v>
      </c>
    </row>
    <row r="237" spans="1:7" ht="20.100000000000001" customHeight="1">
      <c r="A237" s="478" t="s">
        <v>675</v>
      </c>
      <c r="B237" s="176"/>
      <c r="C237" s="176"/>
      <c r="D237" s="176"/>
      <c r="E237" s="176"/>
      <c r="F237" s="195">
        <v>73002</v>
      </c>
      <c r="G237" s="434">
        <v>0</v>
      </c>
    </row>
    <row r="238" spans="1:7" ht="20.100000000000001" customHeight="1">
      <c r="A238" s="478" t="s">
        <v>535</v>
      </c>
      <c r="B238" s="176"/>
      <c r="C238" s="176"/>
      <c r="D238" s="176"/>
      <c r="E238" s="176"/>
      <c r="F238" s="195">
        <v>73050</v>
      </c>
      <c r="G238" s="434">
        <v>0</v>
      </c>
    </row>
    <row r="239" spans="1:7" ht="20.100000000000001" customHeight="1">
      <c r="A239" s="478" t="s">
        <v>709</v>
      </c>
      <c r="B239" s="176"/>
      <c r="C239" s="176"/>
      <c r="D239" s="176"/>
      <c r="E239" s="176"/>
      <c r="F239" s="195">
        <v>73100</v>
      </c>
      <c r="G239" s="434">
        <v>0</v>
      </c>
    </row>
    <row r="240" spans="1:7" ht="20.100000000000001" customHeight="1">
      <c r="A240" s="478" t="s">
        <v>536</v>
      </c>
      <c r="B240" s="176"/>
      <c r="C240" s="176"/>
      <c r="D240" s="176"/>
      <c r="E240" s="176"/>
      <c r="F240" s="180" t="s">
        <v>537</v>
      </c>
      <c r="G240" s="434">
        <v>0</v>
      </c>
    </row>
    <row r="241" spans="1:7" ht="20.100000000000001" customHeight="1">
      <c r="A241" s="478" t="s">
        <v>538</v>
      </c>
      <c r="B241" s="176"/>
      <c r="C241" s="176"/>
      <c r="D241" s="176"/>
      <c r="E241" s="176"/>
      <c r="F241" s="180" t="s">
        <v>539</v>
      </c>
      <c r="G241" s="434">
        <v>0</v>
      </c>
    </row>
    <row r="242" spans="1:7" ht="20.100000000000001" customHeight="1">
      <c r="A242" s="478" t="s">
        <v>540</v>
      </c>
      <c r="B242" s="176"/>
      <c r="C242" s="176"/>
      <c r="D242" s="176"/>
      <c r="E242" s="176"/>
      <c r="F242" s="180" t="s">
        <v>541</v>
      </c>
      <c r="G242" s="434">
        <v>0</v>
      </c>
    </row>
    <row r="243" spans="1:7" ht="20.100000000000001" customHeight="1">
      <c r="A243" s="478" t="s">
        <v>542</v>
      </c>
      <c r="B243" s="176"/>
      <c r="C243" s="176"/>
      <c r="D243" s="176"/>
      <c r="E243" s="176"/>
      <c r="F243" s="180" t="s">
        <v>543</v>
      </c>
      <c r="G243" s="434">
        <v>0</v>
      </c>
    </row>
    <row r="244" spans="1:7" ht="20.100000000000001" customHeight="1">
      <c r="A244" s="478" t="s">
        <v>544</v>
      </c>
      <c r="B244" s="176"/>
      <c r="C244" s="176"/>
      <c r="D244" s="176"/>
      <c r="E244" s="176"/>
      <c r="F244" s="180" t="s">
        <v>545</v>
      </c>
      <c r="G244" s="434">
        <v>0</v>
      </c>
    </row>
    <row r="245" spans="1:7" ht="20.100000000000001" customHeight="1">
      <c r="A245" s="478"/>
      <c r="B245" s="176"/>
      <c r="C245" s="176"/>
      <c r="D245" s="176"/>
      <c r="E245" s="176"/>
      <c r="F245" s="180"/>
      <c r="G245" s="713"/>
    </row>
    <row r="246" spans="1:7" ht="20.100000000000001" customHeight="1">
      <c r="A246" s="707" t="s">
        <v>546</v>
      </c>
      <c r="B246" s="544"/>
      <c r="C246" s="544"/>
      <c r="D246" s="544"/>
      <c r="E246" s="544"/>
      <c r="F246" s="545"/>
      <c r="G246" s="594">
        <f>SUM(G232:G244)</f>
        <v>0</v>
      </c>
    </row>
    <row r="247" spans="1:7" ht="20.100000000000001" customHeight="1">
      <c r="A247" s="488"/>
      <c r="B247" s="199"/>
      <c r="C247" s="199"/>
      <c r="D247" s="199"/>
      <c r="E247" s="199"/>
      <c r="F247" s="199"/>
      <c r="G247" s="551"/>
    </row>
    <row r="248" spans="1:7" ht="20.100000000000001" customHeight="1" thickBot="1">
      <c r="A248" s="500" t="s">
        <v>547</v>
      </c>
      <c r="B248" s="501"/>
      <c r="C248" s="501"/>
      <c r="D248" s="501"/>
      <c r="E248" s="501"/>
      <c r="F248" s="502"/>
      <c r="G248" s="503">
        <f>SUM(G194+G228+G246)</f>
        <v>62436906</v>
      </c>
    </row>
    <row r="249" spans="1:7" ht="20.100000000000001" customHeight="1" thickTop="1">
      <c r="A249" s="714"/>
      <c r="B249" s="715"/>
      <c r="C249" s="715"/>
      <c r="D249" s="715"/>
      <c r="E249" s="715"/>
      <c r="F249" s="716"/>
      <c r="G249" s="717"/>
    </row>
    <row r="250" spans="1:7" ht="20.100000000000001" customHeight="1">
      <c r="A250" s="831"/>
      <c r="B250" s="832"/>
      <c r="C250" s="832"/>
      <c r="D250" s="832"/>
      <c r="E250" s="832"/>
      <c r="F250" s="833"/>
      <c r="G250" s="718"/>
    </row>
    <row r="251" spans="1:7" ht="20.100000000000001" customHeight="1">
      <c r="A251" s="478"/>
      <c r="B251" s="176"/>
      <c r="C251" s="176"/>
      <c r="D251" s="176"/>
      <c r="E251" s="176"/>
      <c r="F251" s="180"/>
      <c r="G251" s="205"/>
    </row>
    <row r="252" spans="1:7" ht="20.100000000000001" customHeight="1">
      <c r="A252" s="478" t="s">
        <v>548</v>
      </c>
      <c r="B252" s="176"/>
      <c r="C252" s="176"/>
      <c r="D252" s="176"/>
      <c r="E252" s="176"/>
      <c r="F252" s="189">
        <v>30100</v>
      </c>
      <c r="G252" s="434">
        <v>1500000</v>
      </c>
    </row>
    <row r="253" spans="1:7" ht="20.100000000000001" customHeight="1">
      <c r="A253" s="478" t="s">
        <v>549</v>
      </c>
      <c r="B253" s="176"/>
      <c r="C253" s="176"/>
      <c r="D253" s="176"/>
      <c r="E253" s="176"/>
      <c r="F253" s="189">
        <v>30200</v>
      </c>
      <c r="G253" s="434">
        <v>0</v>
      </c>
    </row>
    <row r="254" spans="1:7" ht="20.100000000000001" customHeight="1">
      <c r="A254" s="478" t="s">
        <v>550</v>
      </c>
      <c r="B254" s="176"/>
      <c r="C254" s="176"/>
      <c r="D254" s="176"/>
      <c r="E254" s="176"/>
      <c r="F254" s="189">
        <v>30300</v>
      </c>
      <c r="G254" s="434">
        <v>0</v>
      </c>
    </row>
    <row r="255" spans="1:7" ht="20.100000000000001" customHeight="1">
      <c r="A255" s="478" t="s">
        <v>551</v>
      </c>
      <c r="B255" s="176"/>
      <c r="C255" s="176"/>
      <c r="D255" s="176"/>
      <c r="E255" s="176"/>
      <c r="F255" s="189">
        <v>30400</v>
      </c>
      <c r="G255" s="434">
        <v>0</v>
      </c>
    </row>
    <row r="256" spans="1:7" ht="20.100000000000001" customHeight="1">
      <c r="A256" s="478" t="s">
        <v>552</v>
      </c>
      <c r="B256" s="176"/>
      <c r="C256" s="176"/>
      <c r="D256" s="176"/>
      <c r="E256" s="176"/>
      <c r="F256" s="189">
        <v>30500</v>
      </c>
      <c r="G256" s="434">
        <v>0</v>
      </c>
    </row>
    <row r="257" spans="1:12" ht="20.100000000000001" customHeight="1">
      <c r="A257" s="478" t="s">
        <v>553</v>
      </c>
      <c r="B257" s="176"/>
      <c r="C257" s="176"/>
      <c r="D257" s="176"/>
      <c r="E257" s="176"/>
      <c r="F257" s="189">
        <v>30600</v>
      </c>
      <c r="G257" s="434">
        <v>0</v>
      </c>
    </row>
    <row r="258" spans="1:12" ht="20.100000000000001" customHeight="1">
      <c r="A258" s="478" t="s">
        <v>554</v>
      </c>
      <c r="B258" s="176"/>
      <c r="C258" s="176"/>
      <c r="D258" s="176"/>
      <c r="E258" s="176"/>
      <c r="F258" s="189">
        <v>30700</v>
      </c>
      <c r="G258" s="434">
        <v>0</v>
      </c>
    </row>
    <row r="259" spans="1:12" ht="20.100000000000001" customHeight="1">
      <c r="A259" s="478" t="s">
        <v>555</v>
      </c>
      <c r="B259" s="176"/>
      <c r="C259" s="176"/>
      <c r="D259" s="176"/>
      <c r="E259" s="176"/>
      <c r="F259" s="189">
        <v>30900</v>
      </c>
      <c r="G259" s="434">
        <v>0</v>
      </c>
    </row>
    <row r="260" spans="1:12" ht="20.100000000000001" customHeight="1">
      <c r="A260" s="478" t="s">
        <v>556</v>
      </c>
      <c r="B260" s="176"/>
      <c r="C260" s="176"/>
      <c r="D260" s="176"/>
      <c r="E260" s="176"/>
      <c r="F260" s="189">
        <v>31100</v>
      </c>
      <c r="G260" s="581">
        <v>7769490</v>
      </c>
    </row>
    <row r="261" spans="1:12" ht="20.100000000000001" customHeight="1">
      <c r="A261" s="478"/>
      <c r="B261" s="176"/>
      <c r="C261" s="176"/>
      <c r="D261" s="176"/>
      <c r="E261" s="176"/>
      <c r="F261" s="189"/>
      <c r="G261" s="719"/>
    </row>
    <row r="262" spans="1:12" ht="20.100000000000001" customHeight="1">
      <c r="A262" s="479" t="s">
        <v>557</v>
      </c>
      <c r="B262" s="176"/>
      <c r="C262" s="176"/>
      <c r="D262" s="176"/>
      <c r="E262" s="176"/>
      <c r="F262" s="189"/>
      <c r="G262" s="720">
        <f>SUM(G252:G260)</f>
        <v>9269490</v>
      </c>
    </row>
    <row r="263" spans="1:12" ht="20.100000000000001" customHeight="1">
      <c r="A263" s="479"/>
      <c r="B263" s="176"/>
      <c r="C263" s="176"/>
      <c r="D263" s="176"/>
      <c r="E263" s="176"/>
      <c r="F263" s="189"/>
      <c r="G263" s="205"/>
    </row>
    <row r="264" spans="1:12" ht="20.100000000000001" customHeight="1" thickBot="1">
      <c r="A264" s="490" t="s">
        <v>745</v>
      </c>
      <c r="F264" s="195">
        <v>30800</v>
      </c>
      <c r="G264" s="1159">
        <f>-32285551-13409000-340000</f>
        <v>-46034551</v>
      </c>
      <c r="H264" s="505"/>
    </row>
    <row r="265" spans="1:12" ht="20.100000000000001" customHeight="1">
      <c r="A265" s="486"/>
      <c r="F265" s="195"/>
      <c r="G265" s="205"/>
    </row>
    <row r="266" spans="1:12" ht="20.100000000000001" customHeight="1">
      <c r="A266" s="491" t="s">
        <v>558</v>
      </c>
      <c r="B266" s="492"/>
      <c r="C266" s="492"/>
      <c r="D266" s="492"/>
      <c r="E266" s="492"/>
      <c r="F266" s="493"/>
      <c r="G266" s="1158">
        <f>G262+G264</f>
        <v>-36765061</v>
      </c>
      <c r="H266" s="506"/>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5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numberStoredAsText="1"/>
    <ignoredError sqref="G86 G77 G82 G143" evalError="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zoomScale="80" zoomScaleNormal="80" zoomScalePageLayoutView="80" workbookViewId="0">
      <selection activeCell="C17" sqref="C17"/>
    </sheetView>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559</v>
      </c>
      <c r="F1" s="274"/>
    </row>
    <row r="2" spans="1:8" ht="24" customHeight="1">
      <c r="A2" s="274"/>
      <c r="B2" s="274"/>
      <c r="C2" s="274"/>
      <c r="D2" s="274"/>
      <c r="E2" s="325"/>
      <c r="F2" s="274"/>
    </row>
    <row r="3" spans="1:8" ht="24" customHeight="1" thickBot="1">
      <c r="A3" s="892" t="s">
        <v>169</v>
      </c>
      <c r="B3" s="881" t="str">
        <f>'CHECK SHEET'!D7</f>
        <v>State College of Florida, Manatee-Sarasota</v>
      </c>
      <c r="C3" s="881"/>
      <c r="D3" s="881"/>
      <c r="E3" s="881"/>
      <c r="F3" s="273"/>
      <c r="G3" s="321"/>
    </row>
    <row r="4" spans="1:8" ht="24" customHeight="1">
      <c r="A4" s="878" t="s">
        <v>560</v>
      </c>
      <c r="B4" s="878"/>
      <c r="C4" s="878"/>
      <c r="D4" s="878"/>
      <c r="E4" s="878"/>
      <c r="F4" s="273"/>
    </row>
    <row r="5" spans="1:8" ht="24" customHeight="1">
      <c r="A5" s="878" t="s">
        <v>561</v>
      </c>
      <c r="B5" s="878"/>
      <c r="C5" s="878"/>
      <c r="D5" s="878"/>
      <c r="E5" s="878"/>
      <c r="F5" s="273"/>
    </row>
    <row r="6" spans="1:8" ht="24" customHeight="1">
      <c r="A6" s="878" t="s">
        <v>746</v>
      </c>
      <c r="B6" s="878"/>
      <c r="C6" s="878"/>
      <c r="D6" s="878"/>
      <c r="E6" s="878"/>
      <c r="F6" s="273"/>
    </row>
    <row r="7" spans="1:8" ht="20.100000000000001" customHeight="1">
      <c r="A7" s="807"/>
      <c r="B7" s="807"/>
      <c r="C7" s="807"/>
      <c r="D7" s="883"/>
      <c r="E7" s="883"/>
    </row>
    <row r="8" spans="1:8" ht="24" customHeight="1" thickBot="1">
      <c r="A8" s="834" t="s">
        <v>562</v>
      </c>
      <c r="B8" s="834"/>
      <c r="C8" s="834"/>
      <c r="H8" s="322"/>
    </row>
    <row r="9" spans="1:8" s="11" customFormat="1" ht="64.349999999999994" customHeight="1" thickBot="1">
      <c r="A9" s="276" t="s">
        <v>563</v>
      </c>
      <c r="B9" s="808" t="s">
        <v>564</v>
      </c>
      <c r="C9" s="295" t="s">
        <v>565</v>
      </c>
      <c r="D9" s="295" t="s">
        <v>566</v>
      </c>
      <c r="E9" s="344" t="s">
        <v>47</v>
      </c>
      <c r="F9" s="25"/>
      <c r="H9" s="342"/>
    </row>
    <row r="10" spans="1:8" s="11" customFormat="1" ht="20.100000000000001" customHeight="1">
      <c r="A10" s="358" t="s">
        <v>567</v>
      </c>
      <c r="B10" s="435">
        <v>17428062</v>
      </c>
      <c r="C10" s="436">
        <f>392956+604132</f>
        <v>997088</v>
      </c>
      <c r="D10" s="436">
        <v>0</v>
      </c>
      <c r="E10" s="359">
        <f>SUM(B10:D10)</f>
        <v>18425150</v>
      </c>
      <c r="F10" s="342"/>
      <c r="G10" s="342"/>
    </row>
    <row r="11" spans="1:8" s="11" customFormat="1" ht="20.100000000000001" customHeight="1">
      <c r="A11" s="358" t="s">
        <v>568</v>
      </c>
      <c r="B11" s="437">
        <v>0</v>
      </c>
      <c r="C11" s="430">
        <v>0</v>
      </c>
      <c r="D11" s="430">
        <v>0</v>
      </c>
      <c r="E11" s="359">
        <f>SUM(B11:D11)</f>
        <v>0</v>
      </c>
      <c r="F11" s="342"/>
      <c r="G11" s="342"/>
      <c r="H11" s="342"/>
    </row>
    <row r="12" spans="1:8" s="11" customFormat="1" ht="20.100000000000001" customHeight="1" thickBot="1">
      <c r="A12" s="358" t="s">
        <v>569</v>
      </c>
      <c r="B12" s="437">
        <v>0</v>
      </c>
      <c r="C12" s="430">
        <v>0</v>
      </c>
      <c r="D12" s="430">
        <v>0</v>
      </c>
      <c r="E12" s="360">
        <f>SUM(B12:D12)</f>
        <v>0</v>
      </c>
      <c r="F12" s="342"/>
    </row>
    <row r="13" spans="1:8" s="11" customFormat="1" ht="20.100000000000001" customHeight="1" thickBot="1">
      <c r="A13" s="358" t="s">
        <v>570</v>
      </c>
      <c r="B13" s="361"/>
      <c r="C13" s="362"/>
      <c r="D13" s="362"/>
      <c r="E13" s="363"/>
      <c r="F13" s="342"/>
    </row>
    <row r="14" spans="1:8" s="11" customFormat="1" ht="20.100000000000001" customHeight="1">
      <c r="A14" s="358" t="s">
        <v>571</v>
      </c>
      <c r="B14" s="437">
        <v>2516966</v>
      </c>
      <c r="C14" s="438">
        <f>75752+685590</f>
        <v>761342</v>
      </c>
      <c r="D14" s="438">
        <v>0</v>
      </c>
      <c r="E14" s="360">
        <f t="shared" ref="E14:E20" si="0">SUM(B14:D14)</f>
        <v>3278308</v>
      </c>
      <c r="F14" s="342"/>
    </row>
    <row r="15" spans="1:8" s="11" customFormat="1" ht="20.100000000000001" customHeight="1">
      <c r="A15" s="358" t="s">
        <v>572</v>
      </c>
      <c r="B15" s="437">
        <v>0</v>
      </c>
      <c r="C15" s="430">
        <v>0</v>
      </c>
      <c r="D15" s="430">
        <v>0</v>
      </c>
      <c r="E15" s="360">
        <f>SUM(B15:D15)</f>
        <v>0</v>
      </c>
      <c r="F15" s="342"/>
    </row>
    <row r="16" spans="1:8" s="11" customFormat="1" ht="20.100000000000001" customHeight="1">
      <c r="A16" s="358" t="s">
        <v>573</v>
      </c>
      <c r="B16" s="437">
        <v>5999816</v>
      </c>
      <c r="C16" s="430">
        <v>271790</v>
      </c>
      <c r="D16" s="430">
        <v>0</v>
      </c>
      <c r="E16" s="360">
        <f t="shared" si="0"/>
        <v>6271606</v>
      </c>
      <c r="F16" s="342"/>
    </row>
    <row r="17" spans="1:6" s="11" customFormat="1" ht="20.100000000000001" customHeight="1">
      <c r="A17" s="358" t="s">
        <v>574</v>
      </c>
      <c r="B17" s="437">
        <v>16866099</v>
      </c>
      <c r="C17" s="430">
        <v>6035130</v>
      </c>
      <c r="D17" s="430">
        <v>0</v>
      </c>
      <c r="E17" s="360">
        <f t="shared" si="0"/>
        <v>22901229</v>
      </c>
      <c r="F17" s="342"/>
    </row>
    <row r="18" spans="1:6" s="11" customFormat="1" ht="20.100000000000001" customHeight="1">
      <c r="A18" s="358" t="s">
        <v>575</v>
      </c>
      <c r="B18" s="437">
        <v>1865422</v>
      </c>
      <c r="C18" s="430">
        <v>5034922</v>
      </c>
      <c r="D18" s="430">
        <v>0</v>
      </c>
      <c r="E18" s="360">
        <f t="shared" si="0"/>
        <v>6900344</v>
      </c>
      <c r="F18" s="342"/>
    </row>
    <row r="19" spans="1:6" s="11" customFormat="1" ht="20.100000000000001" customHeight="1">
      <c r="A19" s="358" t="s">
        <v>576</v>
      </c>
      <c r="B19" s="437">
        <v>0</v>
      </c>
      <c r="C19" s="430">
        <f>45125+624288</f>
        <v>669413</v>
      </c>
      <c r="D19" s="430">
        <v>0</v>
      </c>
      <c r="E19" s="360">
        <f t="shared" si="0"/>
        <v>669413</v>
      </c>
      <c r="F19" s="342"/>
    </row>
    <row r="20" spans="1:6" s="11" customFormat="1" ht="20.100000000000001" customHeight="1" thickBot="1">
      <c r="A20" s="358" t="s">
        <v>577</v>
      </c>
      <c r="B20" s="437">
        <v>1000000</v>
      </c>
      <c r="C20" s="431">
        <v>2990856</v>
      </c>
      <c r="D20" s="431">
        <v>0</v>
      </c>
      <c r="E20" s="360">
        <f t="shared" si="0"/>
        <v>3990856</v>
      </c>
      <c r="F20" s="342"/>
    </row>
    <row r="21" spans="1:6" s="11" customFormat="1" ht="24" customHeight="1" thickBot="1">
      <c r="A21" s="283" t="s">
        <v>47</v>
      </c>
      <c r="B21" s="343">
        <f>SUM(B10:B20)</f>
        <v>45676365</v>
      </c>
      <c r="C21" s="346">
        <f>SUM(C10:C20)</f>
        <v>16760541</v>
      </c>
      <c r="D21" s="346">
        <f>SUM(D10:D20)</f>
        <v>0</v>
      </c>
      <c r="E21" s="345">
        <f>SUM(E10:E20)</f>
        <v>62436906</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election activeCell="K32" sqref="K32"/>
    </sheetView>
  </sheetViews>
  <sheetFormatPr defaultColWidth="8.85546875" defaultRowHeight="12.75"/>
  <cols>
    <col min="1" max="1" width="78.7109375" customWidth="1"/>
  </cols>
  <sheetData>
    <row r="1" spans="1:7" ht="26.1" customHeight="1">
      <c r="A1" s="476" t="s">
        <v>578</v>
      </c>
      <c r="B1" s="475"/>
      <c r="C1" s="475"/>
      <c r="D1" s="475"/>
      <c r="E1" s="475"/>
      <c r="F1" s="475"/>
      <c r="G1" s="475"/>
    </row>
    <row r="2" spans="1:7" ht="26.25">
      <c r="A2" s="466" t="s">
        <v>579</v>
      </c>
      <c r="B2" s="475"/>
    </row>
    <row r="3" spans="1:7" ht="26.1" customHeight="1">
      <c r="A3" s="465" t="s">
        <v>580</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topLeftCell="A86" zoomScale="60" zoomScaleNormal="60" zoomScaleSheetLayoutView="50" zoomScalePageLayoutView="60" workbookViewId="0">
      <selection activeCell="D117" sqref="D117:D118"/>
    </sheetView>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8" t="s">
        <v>169</v>
      </c>
      <c r="B1" s="896" t="str">
        <f>'CHECK SHEET'!D7</f>
        <v>State College of Florida, Manatee-Sarasota</v>
      </c>
      <c r="C1" s="896"/>
      <c r="D1" s="896"/>
      <c r="E1" s="896"/>
      <c r="F1" s="896"/>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7" t="s">
        <v>581</v>
      </c>
      <c r="B2" s="897"/>
      <c r="C2" s="897"/>
      <c r="D2" s="897"/>
      <c r="E2" s="897"/>
      <c r="F2" s="897"/>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8" t="s">
        <v>582</v>
      </c>
      <c r="B3" s="878"/>
      <c r="C3" s="878"/>
      <c r="D3" s="878"/>
      <c r="E3" s="878"/>
      <c r="F3" s="878"/>
    </row>
    <row r="4" spans="1:224" ht="30" customHeight="1">
      <c r="A4" s="897" t="s">
        <v>746</v>
      </c>
      <c r="B4" s="897"/>
      <c r="C4" s="897"/>
      <c r="D4" s="897"/>
      <c r="E4" s="897"/>
      <c r="F4" s="897"/>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5"/>
      <c r="B5" s="845"/>
      <c r="C5" s="845"/>
      <c r="D5" s="845"/>
      <c r="E5" s="845"/>
      <c r="F5" s="845"/>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3" t="s">
        <v>562</v>
      </c>
      <c r="B7" s="844"/>
      <c r="C7" s="837" t="s">
        <v>725</v>
      </c>
      <c r="D7" s="838"/>
      <c r="E7" s="838"/>
      <c r="F7" s="839"/>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50" t="s">
        <v>583</v>
      </c>
      <c r="B8" s="951"/>
      <c r="C8" s="221" t="s">
        <v>259</v>
      </c>
      <c r="D8" s="222" t="s">
        <v>584</v>
      </c>
      <c r="E8" s="535" t="s">
        <v>585</v>
      </c>
      <c r="F8" s="221" t="s">
        <v>586</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5" t="s">
        <v>386</v>
      </c>
      <c r="B9" s="840"/>
      <c r="C9" s="246"/>
      <c r="D9" s="261"/>
      <c r="E9" s="261"/>
      <c r="F9" s="261"/>
      <c r="I9" s="82"/>
      <c r="J9" s="23"/>
      <c r="K9" s="87"/>
      <c r="L9" s="87"/>
      <c r="M9" s="87"/>
      <c r="N9" s="87"/>
    </row>
    <row r="10" spans="1:224" s="11" customFormat="1" ht="30" customHeight="1">
      <c r="A10" s="223" t="s">
        <v>387</v>
      </c>
      <c r="B10" s="231"/>
      <c r="C10" s="536" t="s">
        <v>388</v>
      </c>
      <c r="D10" s="1144">
        <v>0</v>
      </c>
      <c r="E10" s="1144">
        <v>0</v>
      </c>
      <c r="F10" s="1145">
        <f t="shared" ref="F10:F73" si="0">+D10+E10</f>
        <v>0</v>
      </c>
      <c r="I10" s="82"/>
      <c r="J10" s="23"/>
      <c r="K10" s="87"/>
      <c r="L10" s="87"/>
      <c r="M10" s="87"/>
      <c r="N10" s="87"/>
    </row>
    <row r="11" spans="1:224" s="11" customFormat="1" ht="30" customHeight="1">
      <c r="A11" s="721" t="s">
        <v>389</v>
      </c>
      <c r="B11" s="722"/>
      <c r="C11" s="723" t="s">
        <v>390</v>
      </c>
      <c r="D11" s="724">
        <v>0</v>
      </c>
      <c r="E11" s="724">
        <v>0</v>
      </c>
      <c r="F11" s="725">
        <f t="shared" si="0"/>
        <v>0</v>
      </c>
      <c r="I11" s="82"/>
      <c r="J11" s="23"/>
      <c r="K11" s="87"/>
      <c r="L11" s="87"/>
      <c r="M11" s="87"/>
      <c r="N11" s="87"/>
    </row>
    <row r="12" spans="1:224" s="11" customFormat="1" ht="30" customHeight="1">
      <c r="A12" s="721" t="s">
        <v>391</v>
      </c>
      <c r="B12" s="722"/>
      <c r="C12" s="723" t="s">
        <v>392</v>
      </c>
      <c r="D12" s="724">
        <v>0</v>
      </c>
      <c r="E12" s="724">
        <v>0</v>
      </c>
      <c r="F12" s="725">
        <f t="shared" si="0"/>
        <v>0</v>
      </c>
      <c r="I12" s="82"/>
      <c r="J12" s="23"/>
      <c r="K12" s="87"/>
      <c r="L12" s="87"/>
      <c r="M12" s="87"/>
      <c r="N12" s="87"/>
    </row>
    <row r="13" spans="1:224" s="11" customFormat="1" ht="30" customHeight="1">
      <c r="A13" s="721" t="s">
        <v>393</v>
      </c>
      <c r="B13" s="722"/>
      <c r="C13" s="723" t="s">
        <v>394</v>
      </c>
      <c r="D13" s="724">
        <v>0</v>
      </c>
      <c r="E13" s="724">
        <v>0</v>
      </c>
      <c r="F13" s="725">
        <f t="shared" si="0"/>
        <v>0</v>
      </c>
      <c r="I13" s="82"/>
      <c r="J13" s="23"/>
      <c r="K13" s="87"/>
      <c r="L13" s="87"/>
      <c r="M13" s="87"/>
      <c r="N13" s="87"/>
    </row>
    <row r="14" spans="1:224" s="11" customFormat="1" ht="30" customHeight="1">
      <c r="A14" s="721" t="s">
        <v>395</v>
      </c>
      <c r="B14" s="722"/>
      <c r="C14" s="723" t="s">
        <v>396</v>
      </c>
      <c r="D14" s="724">
        <v>0</v>
      </c>
      <c r="E14" s="724">
        <v>0</v>
      </c>
      <c r="F14" s="725">
        <f t="shared" si="0"/>
        <v>0</v>
      </c>
      <c r="I14" s="82"/>
      <c r="J14" s="23"/>
      <c r="K14" s="87"/>
      <c r="L14" s="87"/>
      <c r="M14" s="87"/>
      <c r="N14" s="87"/>
    </row>
    <row r="15" spans="1:224" s="11" customFormat="1" ht="30" customHeight="1">
      <c r="A15" s="721" t="s">
        <v>397</v>
      </c>
      <c r="B15" s="722"/>
      <c r="C15" s="723" t="s">
        <v>398</v>
      </c>
      <c r="D15" s="724">
        <v>650529</v>
      </c>
      <c r="E15" s="724">
        <v>0</v>
      </c>
      <c r="F15" s="725">
        <f t="shared" si="0"/>
        <v>650529</v>
      </c>
      <c r="I15" s="82"/>
      <c r="J15" s="23"/>
      <c r="K15" s="87"/>
      <c r="L15" s="87"/>
      <c r="M15" s="87"/>
      <c r="N15" s="87"/>
    </row>
    <row r="16" spans="1:224" s="11" customFormat="1" ht="30" customHeight="1">
      <c r="A16" s="721" t="s">
        <v>399</v>
      </c>
      <c r="B16" s="722"/>
      <c r="C16" s="723" t="s">
        <v>400</v>
      </c>
      <c r="D16" s="724">
        <v>242000</v>
      </c>
      <c r="E16" s="724">
        <v>0</v>
      </c>
      <c r="F16" s="725">
        <f t="shared" si="0"/>
        <v>242000</v>
      </c>
    </row>
    <row r="17" spans="1:6" s="11" customFormat="1" ht="30" customHeight="1">
      <c r="A17" s="721" t="s">
        <v>401</v>
      </c>
      <c r="B17" s="722"/>
      <c r="C17" s="723" t="s">
        <v>402</v>
      </c>
      <c r="D17" s="724">
        <v>1000</v>
      </c>
      <c r="E17" s="724">
        <v>0</v>
      </c>
      <c r="F17" s="725">
        <f t="shared" si="0"/>
        <v>1000</v>
      </c>
    </row>
    <row r="18" spans="1:6" s="11" customFormat="1" ht="30" customHeight="1">
      <c r="A18" s="721" t="s">
        <v>403</v>
      </c>
      <c r="B18" s="722"/>
      <c r="C18" s="723" t="s">
        <v>404</v>
      </c>
      <c r="D18" s="724">
        <v>0</v>
      </c>
      <c r="E18" s="724">
        <v>0</v>
      </c>
      <c r="F18" s="725">
        <f t="shared" si="0"/>
        <v>0</v>
      </c>
    </row>
    <row r="19" spans="1:6" s="11" customFormat="1" ht="30" customHeight="1">
      <c r="A19" s="721" t="s">
        <v>680</v>
      </c>
      <c r="B19" s="722"/>
      <c r="C19" s="723" t="s">
        <v>406</v>
      </c>
      <c r="D19" s="724">
        <v>0</v>
      </c>
      <c r="E19" s="724">
        <v>0</v>
      </c>
      <c r="F19" s="725">
        <f t="shared" si="0"/>
        <v>0</v>
      </c>
    </row>
    <row r="20" spans="1:6" s="11" customFormat="1" ht="30" customHeight="1">
      <c r="A20" s="721" t="s">
        <v>407</v>
      </c>
      <c r="B20" s="722"/>
      <c r="C20" s="723">
        <v>52500</v>
      </c>
      <c r="D20" s="724">
        <v>0</v>
      </c>
      <c r="E20" s="724">
        <v>0</v>
      </c>
      <c r="F20" s="725">
        <f>+D20+E20</f>
        <v>0</v>
      </c>
    </row>
    <row r="21" spans="1:6" s="11" customFormat="1" ht="30" customHeight="1">
      <c r="A21" s="721" t="s">
        <v>408</v>
      </c>
      <c r="B21" s="722"/>
      <c r="C21" s="723" t="s">
        <v>409</v>
      </c>
      <c r="D21" s="724">
        <v>0</v>
      </c>
      <c r="E21" s="724">
        <v>0</v>
      </c>
      <c r="F21" s="725">
        <f t="shared" si="0"/>
        <v>0</v>
      </c>
    </row>
    <row r="22" spans="1:6" s="11" customFormat="1" ht="30" customHeight="1">
      <c r="A22" s="721" t="s">
        <v>410</v>
      </c>
      <c r="B22" s="722"/>
      <c r="C22" s="723" t="s">
        <v>411</v>
      </c>
      <c r="D22" s="724">
        <v>0</v>
      </c>
      <c r="E22" s="724">
        <v>0</v>
      </c>
      <c r="F22" s="725">
        <f t="shared" si="0"/>
        <v>0</v>
      </c>
    </row>
    <row r="23" spans="1:6" s="11" customFormat="1" ht="30" customHeight="1">
      <c r="A23" s="721" t="s">
        <v>412</v>
      </c>
      <c r="B23" s="722"/>
      <c r="C23" s="723" t="s">
        <v>413</v>
      </c>
      <c r="D23" s="724">
        <v>0</v>
      </c>
      <c r="E23" s="724">
        <v>0</v>
      </c>
      <c r="F23" s="725">
        <f t="shared" si="0"/>
        <v>0</v>
      </c>
    </row>
    <row r="24" spans="1:6" s="11" customFormat="1" ht="30" customHeight="1">
      <c r="A24" s="721" t="s">
        <v>414</v>
      </c>
      <c r="B24" s="722"/>
      <c r="C24" s="723" t="s">
        <v>415</v>
      </c>
      <c r="D24" s="724">
        <v>0</v>
      </c>
      <c r="E24" s="724">
        <v>0</v>
      </c>
      <c r="F24" s="725">
        <f t="shared" si="0"/>
        <v>0</v>
      </c>
    </row>
    <row r="25" spans="1:6" s="11" customFormat="1" ht="30" customHeight="1">
      <c r="A25" s="721" t="s">
        <v>416</v>
      </c>
      <c r="B25" s="722"/>
      <c r="C25" s="723" t="s">
        <v>417</v>
      </c>
      <c r="D25" s="724">
        <v>65000</v>
      </c>
      <c r="E25" s="724">
        <v>0</v>
      </c>
      <c r="F25" s="725">
        <f t="shared" si="0"/>
        <v>65000</v>
      </c>
    </row>
    <row r="26" spans="1:6" s="11" customFormat="1" ht="30" customHeight="1">
      <c r="A26" s="721" t="s">
        <v>418</v>
      </c>
      <c r="B26" s="722"/>
      <c r="C26" s="723" t="s">
        <v>419</v>
      </c>
      <c r="D26" s="724">
        <v>0</v>
      </c>
      <c r="E26" s="724">
        <v>0</v>
      </c>
      <c r="F26" s="725">
        <f t="shared" si="0"/>
        <v>0</v>
      </c>
    </row>
    <row r="27" spans="1:6" s="11" customFormat="1" ht="30" customHeight="1">
      <c r="A27" s="721" t="s">
        <v>420</v>
      </c>
      <c r="B27" s="722"/>
      <c r="C27" s="723" t="s">
        <v>421</v>
      </c>
      <c r="D27" s="724">
        <v>0</v>
      </c>
      <c r="E27" s="724">
        <v>0</v>
      </c>
      <c r="F27" s="725">
        <f t="shared" si="0"/>
        <v>0</v>
      </c>
    </row>
    <row r="28" spans="1:6" s="11" customFormat="1" ht="30" customHeight="1">
      <c r="A28" s="721" t="s">
        <v>422</v>
      </c>
      <c r="B28" s="722"/>
      <c r="C28" s="723" t="s">
        <v>423</v>
      </c>
      <c r="D28" s="724">
        <v>0</v>
      </c>
      <c r="E28" s="724">
        <v>0</v>
      </c>
      <c r="F28" s="725">
        <f t="shared" si="0"/>
        <v>0</v>
      </c>
    </row>
    <row r="29" spans="1:6" s="11" customFormat="1" ht="30" customHeight="1">
      <c r="A29" s="721" t="s">
        <v>424</v>
      </c>
      <c r="B29" s="722"/>
      <c r="C29" s="723" t="s">
        <v>425</v>
      </c>
      <c r="D29" s="724">
        <v>0</v>
      </c>
      <c r="E29" s="724">
        <v>0</v>
      </c>
      <c r="F29" s="725">
        <f t="shared" si="0"/>
        <v>0</v>
      </c>
    </row>
    <row r="30" spans="1:6" s="11" customFormat="1" ht="30" customHeight="1">
      <c r="A30" s="721" t="s">
        <v>426</v>
      </c>
      <c r="B30" s="722"/>
      <c r="C30" s="723" t="s">
        <v>427</v>
      </c>
      <c r="D30" s="724">
        <v>0</v>
      </c>
      <c r="E30" s="724">
        <v>0</v>
      </c>
      <c r="F30" s="725">
        <f t="shared" si="0"/>
        <v>0</v>
      </c>
    </row>
    <row r="31" spans="1:6" s="11" customFormat="1" ht="30" customHeight="1">
      <c r="A31" s="721" t="s">
        <v>428</v>
      </c>
      <c r="B31" s="722"/>
      <c r="C31" s="723" t="s">
        <v>429</v>
      </c>
      <c r="D31" s="724">
        <v>0</v>
      </c>
      <c r="E31" s="724">
        <v>0</v>
      </c>
      <c r="F31" s="725">
        <f t="shared" si="0"/>
        <v>0</v>
      </c>
    </row>
    <row r="32" spans="1:6" s="11" customFormat="1" ht="30" customHeight="1">
      <c r="A32" s="721" t="s">
        <v>430</v>
      </c>
      <c r="B32" s="722"/>
      <c r="C32" s="723" t="s">
        <v>431</v>
      </c>
      <c r="D32" s="724">
        <v>0</v>
      </c>
      <c r="E32" s="724">
        <v>0</v>
      </c>
      <c r="F32" s="725">
        <f>+D32+E32</f>
        <v>0</v>
      </c>
    </row>
    <row r="33" spans="1:6" s="11" customFormat="1" ht="30" customHeight="1">
      <c r="A33" s="721" t="s">
        <v>432</v>
      </c>
      <c r="B33" s="722"/>
      <c r="C33" s="723" t="s">
        <v>433</v>
      </c>
      <c r="D33" s="724">
        <v>0</v>
      </c>
      <c r="E33" s="724">
        <v>0</v>
      </c>
      <c r="F33" s="725">
        <f t="shared" si="0"/>
        <v>0</v>
      </c>
    </row>
    <row r="34" spans="1:6" s="11" customFormat="1" ht="30" customHeight="1">
      <c r="A34" s="721" t="s">
        <v>434</v>
      </c>
      <c r="B34" s="722"/>
      <c r="C34" s="723" t="s">
        <v>435</v>
      </c>
      <c r="D34" s="724">
        <v>0</v>
      </c>
      <c r="E34" s="724">
        <v>0</v>
      </c>
      <c r="F34" s="725">
        <f t="shared" si="0"/>
        <v>0</v>
      </c>
    </row>
    <row r="35" spans="1:6" s="11" customFormat="1" ht="30" customHeight="1">
      <c r="A35" s="721" t="s">
        <v>436</v>
      </c>
      <c r="B35" s="722"/>
      <c r="C35" s="723">
        <v>56001</v>
      </c>
      <c r="D35" s="724">
        <v>0</v>
      </c>
      <c r="E35" s="724">
        <v>0</v>
      </c>
      <c r="F35" s="725">
        <f>+D35+E35</f>
        <v>0</v>
      </c>
    </row>
    <row r="36" spans="1:6" s="11" customFormat="1" ht="30" customHeight="1">
      <c r="A36" s="721" t="s">
        <v>437</v>
      </c>
      <c r="B36" s="722"/>
      <c r="C36" s="723">
        <v>56002</v>
      </c>
      <c r="D36" s="724">
        <v>0</v>
      </c>
      <c r="E36" s="724">
        <v>0</v>
      </c>
      <c r="F36" s="725">
        <f>+D36+E36</f>
        <v>0</v>
      </c>
    </row>
    <row r="37" spans="1:6" s="11" customFormat="1" ht="30" customHeight="1">
      <c r="A37" s="721" t="s">
        <v>438</v>
      </c>
      <c r="B37" s="722"/>
      <c r="C37" s="723">
        <v>56003</v>
      </c>
      <c r="D37" s="724">
        <v>0</v>
      </c>
      <c r="E37" s="724">
        <v>0</v>
      </c>
      <c r="F37" s="725">
        <f>+D37+E37</f>
        <v>0</v>
      </c>
    </row>
    <row r="38" spans="1:6" s="11" customFormat="1" ht="30" customHeight="1">
      <c r="A38" s="721" t="s">
        <v>439</v>
      </c>
      <c r="B38" s="722"/>
      <c r="C38" s="723" t="s">
        <v>440</v>
      </c>
      <c r="D38" s="724">
        <v>0</v>
      </c>
      <c r="E38" s="724">
        <v>0</v>
      </c>
      <c r="F38" s="725">
        <f>+D38+E38</f>
        <v>0</v>
      </c>
    </row>
    <row r="39" spans="1:6" s="11" customFormat="1" ht="30" customHeight="1">
      <c r="A39" s="721" t="s">
        <v>441</v>
      </c>
      <c r="B39" s="722"/>
      <c r="C39" s="723" t="s">
        <v>442</v>
      </c>
      <c r="D39" s="724">
        <f>144000+133000+80000</f>
        <v>357000</v>
      </c>
      <c r="E39" s="724">
        <v>0</v>
      </c>
      <c r="F39" s="725">
        <f t="shared" si="0"/>
        <v>357000</v>
      </c>
    </row>
    <row r="40" spans="1:6" s="11" customFormat="1" ht="30" customHeight="1">
      <c r="A40" s="721" t="s">
        <v>443</v>
      </c>
      <c r="B40" s="722"/>
      <c r="C40" s="723" t="s">
        <v>444</v>
      </c>
      <c r="D40" s="724">
        <v>0</v>
      </c>
      <c r="E40" s="724">
        <v>0</v>
      </c>
      <c r="F40" s="725">
        <f t="shared" si="0"/>
        <v>0</v>
      </c>
    </row>
    <row r="41" spans="1:6" s="11" customFormat="1" ht="30" customHeight="1">
      <c r="A41" s="721" t="s">
        <v>445</v>
      </c>
      <c r="B41" s="722"/>
      <c r="C41" s="723" t="s">
        <v>446</v>
      </c>
      <c r="D41" s="724">
        <v>0</v>
      </c>
      <c r="E41" s="724">
        <v>0</v>
      </c>
      <c r="F41" s="725">
        <f t="shared" si="0"/>
        <v>0</v>
      </c>
    </row>
    <row r="42" spans="1:6" s="11" customFormat="1" ht="30" customHeight="1">
      <c r="A42" s="721" t="s">
        <v>447</v>
      </c>
      <c r="B42" s="722"/>
      <c r="C42" s="723" t="s">
        <v>448</v>
      </c>
      <c r="D42" s="724">
        <v>0</v>
      </c>
      <c r="E42" s="724">
        <v>0</v>
      </c>
      <c r="F42" s="725">
        <f t="shared" si="0"/>
        <v>0</v>
      </c>
    </row>
    <row r="43" spans="1:6" s="11" customFormat="1" ht="30" customHeight="1">
      <c r="A43" s="721" t="s">
        <v>449</v>
      </c>
      <c r="B43" s="722"/>
      <c r="C43" s="723" t="s">
        <v>450</v>
      </c>
      <c r="D43" s="724">
        <v>0</v>
      </c>
      <c r="E43" s="724">
        <v>0</v>
      </c>
      <c r="F43" s="725">
        <f t="shared" si="0"/>
        <v>0</v>
      </c>
    </row>
    <row r="44" spans="1:6" s="11" customFormat="1" ht="30" customHeight="1">
      <c r="A44" s="721" t="s">
        <v>451</v>
      </c>
      <c r="B44" s="722"/>
      <c r="C44" s="723" t="s">
        <v>452</v>
      </c>
      <c r="D44" s="724">
        <v>0</v>
      </c>
      <c r="E44" s="724">
        <v>0</v>
      </c>
      <c r="F44" s="725">
        <f t="shared" si="0"/>
        <v>0</v>
      </c>
    </row>
    <row r="45" spans="1:6" s="11" customFormat="1" ht="30" customHeight="1">
      <c r="A45" s="721" t="s">
        <v>453</v>
      </c>
      <c r="B45" s="722"/>
      <c r="C45" s="723" t="s">
        <v>454</v>
      </c>
      <c r="D45" s="724">
        <v>0</v>
      </c>
      <c r="E45" s="724">
        <v>0</v>
      </c>
      <c r="F45" s="725">
        <f t="shared" si="0"/>
        <v>0</v>
      </c>
    </row>
    <row r="46" spans="1:6" s="11" customFormat="1" ht="30" customHeight="1">
      <c r="A46" s="721" t="s">
        <v>455</v>
      </c>
      <c r="B46" s="722"/>
      <c r="C46" s="723" t="s">
        <v>456</v>
      </c>
      <c r="D46" s="724">
        <v>0</v>
      </c>
      <c r="E46" s="724">
        <v>0</v>
      </c>
      <c r="F46" s="725">
        <f t="shared" si="0"/>
        <v>0</v>
      </c>
    </row>
    <row r="47" spans="1:6" s="11" customFormat="1" ht="30" customHeight="1">
      <c r="A47" s="721" t="s">
        <v>457</v>
      </c>
      <c r="B47" s="722"/>
      <c r="C47" s="723" t="s">
        <v>458</v>
      </c>
      <c r="D47" s="724">
        <f>59429+19075</f>
        <v>78504</v>
      </c>
      <c r="E47" s="724">
        <v>0</v>
      </c>
      <c r="F47" s="725">
        <f t="shared" si="0"/>
        <v>78504</v>
      </c>
    </row>
    <row r="48" spans="1:6" s="11" customFormat="1" ht="30" customHeight="1">
      <c r="A48" s="721" t="s">
        <v>459</v>
      </c>
      <c r="B48" s="722"/>
      <c r="C48" s="723" t="s">
        <v>460</v>
      </c>
      <c r="D48" s="724">
        <f>134482+4000</f>
        <v>138482</v>
      </c>
      <c r="E48" s="724">
        <v>0</v>
      </c>
      <c r="F48" s="725">
        <f t="shared" si="0"/>
        <v>138482</v>
      </c>
    </row>
    <row r="49" spans="1:6" s="11" customFormat="1" ht="30" customHeight="1">
      <c r="A49" s="721" t="s">
        <v>461</v>
      </c>
      <c r="B49" s="722"/>
      <c r="C49" s="723" t="s">
        <v>462</v>
      </c>
      <c r="D49" s="724">
        <v>0</v>
      </c>
      <c r="E49" s="724">
        <v>0</v>
      </c>
      <c r="F49" s="725">
        <f t="shared" si="0"/>
        <v>0</v>
      </c>
    </row>
    <row r="50" spans="1:6" s="11" customFormat="1" ht="30" customHeight="1">
      <c r="A50" s="721" t="s">
        <v>463</v>
      </c>
      <c r="B50" s="722"/>
      <c r="C50" s="723" t="s">
        <v>464</v>
      </c>
      <c r="D50" s="724">
        <v>0</v>
      </c>
      <c r="E50" s="724">
        <v>0</v>
      </c>
      <c r="F50" s="725">
        <f t="shared" si="0"/>
        <v>0</v>
      </c>
    </row>
    <row r="51" spans="1:6" s="11" customFormat="1" ht="30" customHeight="1">
      <c r="A51" s="721" t="s">
        <v>465</v>
      </c>
      <c r="B51" s="722"/>
      <c r="C51" s="723" t="s">
        <v>466</v>
      </c>
      <c r="D51" s="724">
        <v>1500</v>
      </c>
      <c r="E51" s="724">
        <v>0</v>
      </c>
      <c r="F51" s="725">
        <f t="shared" si="0"/>
        <v>1500</v>
      </c>
    </row>
    <row r="52" spans="1:6" s="11" customFormat="1" ht="30" customHeight="1">
      <c r="A52" s="721" t="s">
        <v>587</v>
      </c>
      <c r="B52" s="722"/>
      <c r="C52" s="723" t="s">
        <v>588</v>
      </c>
      <c r="D52" s="724">
        <v>0</v>
      </c>
      <c r="E52" s="724">
        <v>0</v>
      </c>
      <c r="F52" s="725">
        <f>+D52+E52</f>
        <v>0</v>
      </c>
    </row>
    <row r="53" spans="1:6" s="11" customFormat="1" ht="30" customHeight="1">
      <c r="A53" s="721" t="s">
        <v>468</v>
      </c>
      <c r="B53" s="722"/>
      <c r="C53" s="723" t="s">
        <v>469</v>
      </c>
      <c r="D53" s="724">
        <f>189935+410</f>
        <v>190345</v>
      </c>
      <c r="E53" s="724">
        <v>0</v>
      </c>
      <c r="F53" s="725">
        <f t="shared" si="0"/>
        <v>190345</v>
      </c>
    </row>
    <row r="54" spans="1:6" s="11" customFormat="1" ht="30" customHeight="1">
      <c r="A54" s="721" t="s">
        <v>470</v>
      </c>
      <c r="B54" s="722"/>
      <c r="C54" s="723" t="s">
        <v>471</v>
      </c>
      <c r="D54" s="724">
        <v>0</v>
      </c>
      <c r="E54" s="724">
        <v>0</v>
      </c>
      <c r="F54" s="725">
        <f t="shared" si="0"/>
        <v>0</v>
      </c>
    </row>
    <row r="55" spans="1:6" s="11" customFormat="1" ht="30" customHeight="1" thickBot="1">
      <c r="A55" s="726" t="s">
        <v>472</v>
      </c>
      <c r="B55" s="727"/>
      <c r="C55" s="728" t="s">
        <v>473</v>
      </c>
      <c r="D55" s="724">
        <v>0</v>
      </c>
      <c r="E55" s="729">
        <v>0</v>
      </c>
      <c r="F55" s="730">
        <f t="shared" si="0"/>
        <v>0</v>
      </c>
    </row>
    <row r="56" spans="1:6" s="169" customFormat="1" ht="30" customHeight="1" thickBot="1">
      <c r="A56" s="252" t="s">
        <v>474</v>
      </c>
      <c r="B56" s="253"/>
      <c r="C56" s="537"/>
      <c r="D56" s="258">
        <f>SUM(D10:D55)</f>
        <v>1724360</v>
      </c>
      <c r="E56" s="258">
        <f>SUM(E10:E55)</f>
        <v>0</v>
      </c>
      <c r="F56" s="258">
        <f t="shared" si="0"/>
        <v>1724360</v>
      </c>
    </row>
    <row r="57" spans="1:6" s="11" customFormat="1" ht="30" customHeight="1">
      <c r="A57" s="225"/>
      <c r="B57" s="226"/>
      <c r="C57" s="538"/>
      <c r="D57" s="539"/>
      <c r="E57" s="539"/>
      <c r="F57" s="539"/>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7" t="str">
        <f>C7</f>
        <v>2026-27</v>
      </c>
      <c r="D60" s="838"/>
      <c r="E60" s="838"/>
      <c r="F60" s="839"/>
    </row>
    <row r="61" spans="1:6" s="11" customFormat="1" ht="111.6" customHeight="1" thickBot="1">
      <c r="A61" s="950" t="s">
        <v>583</v>
      </c>
      <c r="B61" s="951"/>
      <c r="C61" s="221" t="s">
        <v>259</v>
      </c>
      <c r="D61" s="222" t="s">
        <v>584</v>
      </c>
      <c r="E61" s="535" t="s">
        <v>585</v>
      </c>
      <c r="F61" s="221" t="s">
        <v>586</v>
      </c>
    </row>
    <row r="62" spans="1:6" s="11" customFormat="1" ht="30" customHeight="1" thickBot="1">
      <c r="A62" s="841" t="s">
        <v>153</v>
      </c>
      <c r="B62" s="842"/>
      <c r="C62" s="229"/>
      <c r="D62" s="230"/>
      <c r="E62" s="230"/>
      <c r="F62" s="230"/>
    </row>
    <row r="63" spans="1:6" s="11" customFormat="1" ht="30" customHeight="1">
      <c r="A63" s="223" t="s">
        <v>476</v>
      </c>
      <c r="B63" s="231"/>
      <c r="C63" s="232" t="s">
        <v>477</v>
      </c>
      <c r="D63" s="439">
        <v>10197</v>
      </c>
      <c r="E63" s="439">
        <v>0</v>
      </c>
      <c r="F63" s="224">
        <f t="shared" si="0"/>
        <v>10197</v>
      </c>
    </row>
    <row r="64" spans="1:6" s="11" customFormat="1" ht="30" customHeight="1">
      <c r="A64" s="721" t="s">
        <v>478</v>
      </c>
      <c r="B64" s="722"/>
      <c r="C64" s="731" t="s">
        <v>479</v>
      </c>
      <c r="D64" s="724">
        <v>136</v>
      </c>
      <c r="E64" s="724">
        <v>0</v>
      </c>
      <c r="F64" s="725">
        <f t="shared" si="0"/>
        <v>136</v>
      </c>
    </row>
    <row r="65" spans="1:6" s="11" customFormat="1" ht="30" customHeight="1">
      <c r="A65" s="721" t="s">
        <v>480</v>
      </c>
      <c r="B65" s="722"/>
      <c r="C65" s="731" t="s">
        <v>481</v>
      </c>
      <c r="D65" s="724">
        <v>0</v>
      </c>
      <c r="E65" s="724">
        <v>0</v>
      </c>
      <c r="F65" s="725">
        <f t="shared" si="0"/>
        <v>0</v>
      </c>
    </row>
    <row r="66" spans="1:6" s="11" customFormat="1" ht="30" customHeight="1">
      <c r="A66" s="721" t="s">
        <v>482</v>
      </c>
      <c r="B66" s="722"/>
      <c r="C66" s="731" t="s">
        <v>483</v>
      </c>
      <c r="D66" s="724">
        <v>4437</v>
      </c>
      <c r="E66" s="724">
        <v>0</v>
      </c>
      <c r="F66" s="725">
        <f t="shared" si="0"/>
        <v>4437</v>
      </c>
    </row>
    <row r="67" spans="1:6" s="11" customFormat="1" ht="30" customHeight="1">
      <c r="A67" s="721" t="s">
        <v>589</v>
      </c>
      <c r="B67" s="722"/>
      <c r="C67" s="731" t="s">
        <v>485</v>
      </c>
      <c r="D67" s="724">
        <v>0</v>
      </c>
      <c r="E67" s="724">
        <v>0</v>
      </c>
      <c r="F67" s="725">
        <f t="shared" si="0"/>
        <v>0</v>
      </c>
    </row>
    <row r="68" spans="1:6" s="11" customFormat="1" ht="30" customHeight="1">
      <c r="A68" s="721" t="s">
        <v>486</v>
      </c>
      <c r="B68" s="722"/>
      <c r="C68" s="731" t="s">
        <v>487</v>
      </c>
      <c r="D68" s="724">
        <v>0</v>
      </c>
      <c r="E68" s="724">
        <v>0</v>
      </c>
      <c r="F68" s="725">
        <f t="shared" si="0"/>
        <v>0</v>
      </c>
    </row>
    <row r="69" spans="1:6" s="11" customFormat="1" ht="30" customHeight="1">
      <c r="A69" s="982" t="s">
        <v>673</v>
      </c>
      <c r="B69" s="722"/>
      <c r="C69" s="979">
        <v>63100</v>
      </c>
      <c r="D69" s="980">
        <v>0</v>
      </c>
      <c r="E69" s="980">
        <v>0</v>
      </c>
      <c r="F69" s="981">
        <v>0</v>
      </c>
    </row>
    <row r="70" spans="1:6" s="11" customFormat="1" ht="30" customHeight="1">
      <c r="A70" s="721" t="s">
        <v>488</v>
      </c>
      <c r="B70" s="722"/>
      <c r="C70" s="731" t="s">
        <v>489</v>
      </c>
      <c r="D70" s="724">
        <v>0</v>
      </c>
      <c r="E70" s="724">
        <v>0</v>
      </c>
      <c r="F70" s="725">
        <f t="shared" si="0"/>
        <v>0</v>
      </c>
    </row>
    <row r="71" spans="1:6" s="11" customFormat="1" ht="30" customHeight="1">
      <c r="A71" s="721" t="s">
        <v>684</v>
      </c>
      <c r="B71" s="722"/>
      <c r="C71" s="731" t="s">
        <v>491</v>
      </c>
      <c r="D71" s="724">
        <v>0</v>
      </c>
      <c r="E71" s="724">
        <v>0</v>
      </c>
      <c r="F71" s="725">
        <f t="shared" si="0"/>
        <v>0</v>
      </c>
    </row>
    <row r="72" spans="1:6" s="11" customFormat="1" ht="30" customHeight="1">
      <c r="A72" s="721" t="s">
        <v>492</v>
      </c>
      <c r="B72" s="722"/>
      <c r="C72" s="731" t="s">
        <v>493</v>
      </c>
      <c r="D72" s="724">
        <v>7843</v>
      </c>
      <c r="E72" s="724">
        <v>0</v>
      </c>
      <c r="F72" s="725">
        <f t="shared" si="0"/>
        <v>7843</v>
      </c>
    </row>
    <row r="73" spans="1:6" s="11" customFormat="1" ht="30" customHeight="1">
      <c r="A73" s="721" t="s">
        <v>670</v>
      </c>
      <c r="B73" s="722"/>
      <c r="C73" s="731" t="s">
        <v>494</v>
      </c>
      <c r="D73" s="724">
        <v>0</v>
      </c>
      <c r="E73" s="724">
        <v>0</v>
      </c>
      <c r="F73" s="725">
        <f t="shared" si="0"/>
        <v>0</v>
      </c>
    </row>
    <row r="74" spans="1:6" s="11" customFormat="1" ht="30" customHeight="1">
      <c r="A74" s="721" t="s">
        <v>495</v>
      </c>
      <c r="B74" s="722"/>
      <c r="C74" s="731" t="s">
        <v>496</v>
      </c>
      <c r="D74" s="724">
        <v>0</v>
      </c>
      <c r="E74" s="724">
        <v>0</v>
      </c>
      <c r="F74" s="725">
        <f t="shared" ref="F74:F109" si="1">+D74+E74</f>
        <v>0</v>
      </c>
    </row>
    <row r="75" spans="1:6" s="11" customFormat="1" ht="30" customHeight="1">
      <c r="A75" s="721" t="s">
        <v>497</v>
      </c>
      <c r="B75" s="722"/>
      <c r="C75" s="731" t="s">
        <v>498</v>
      </c>
      <c r="D75" s="724">
        <v>2945</v>
      </c>
      <c r="E75" s="724">
        <v>0</v>
      </c>
      <c r="F75" s="725">
        <f t="shared" si="1"/>
        <v>2945</v>
      </c>
    </row>
    <row r="76" spans="1:6" s="11" customFormat="1" ht="30" customHeight="1">
      <c r="A76" s="721" t="s">
        <v>499</v>
      </c>
      <c r="B76" s="722"/>
      <c r="C76" s="731" t="s">
        <v>500</v>
      </c>
      <c r="D76" s="724">
        <v>17061</v>
      </c>
      <c r="E76" s="724">
        <v>0</v>
      </c>
      <c r="F76" s="725">
        <f t="shared" si="1"/>
        <v>17061</v>
      </c>
    </row>
    <row r="77" spans="1:6" s="11" customFormat="1" ht="30" customHeight="1">
      <c r="A77" s="721" t="s">
        <v>501</v>
      </c>
      <c r="B77" s="722"/>
      <c r="C77" s="731" t="s">
        <v>502</v>
      </c>
      <c r="D77" s="724">
        <v>105</v>
      </c>
      <c r="E77" s="724">
        <v>0</v>
      </c>
      <c r="F77" s="725">
        <f t="shared" si="1"/>
        <v>105</v>
      </c>
    </row>
    <row r="78" spans="1:6" s="11" customFormat="1" ht="30" customHeight="1">
      <c r="A78" s="721" t="s">
        <v>503</v>
      </c>
      <c r="B78" s="722"/>
      <c r="C78" s="731" t="s">
        <v>504</v>
      </c>
      <c r="D78" s="724">
        <v>0</v>
      </c>
      <c r="E78" s="724">
        <v>0</v>
      </c>
      <c r="F78" s="725">
        <f t="shared" si="1"/>
        <v>0</v>
      </c>
    </row>
    <row r="79" spans="1:6" s="11" customFormat="1" ht="30" customHeight="1">
      <c r="A79" s="721" t="s">
        <v>505</v>
      </c>
      <c r="B79" s="722"/>
      <c r="C79" s="731" t="s">
        <v>506</v>
      </c>
      <c r="D79" s="724">
        <v>0</v>
      </c>
      <c r="E79" s="724">
        <v>0</v>
      </c>
      <c r="F79" s="725">
        <f t="shared" si="1"/>
        <v>0</v>
      </c>
    </row>
    <row r="80" spans="1:6" s="11" customFormat="1" ht="30" customHeight="1">
      <c r="A80" s="721" t="s">
        <v>507</v>
      </c>
      <c r="B80" s="722"/>
      <c r="C80" s="731" t="s">
        <v>508</v>
      </c>
      <c r="D80" s="724">
        <v>75752</v>
      </c>
      <c r="E80" s="724">
        <v>0</v>
      </c>
      <c r="F80" s="725">
        <f t="shared" ref="F80:F85" si="2">+D80+E80</f>
        <v>75752</v>
      </c>
    </row>
    <row r="81" spans="1:6" s="11" customFormat="1" ht="30" customHeight="1">
      <c r="A81" s="721" t="s">
        <v>720</v>
      </c>
      <c r="B81" s="722"/>
      <c r="C81" s="731" t="s">
        <v>509</v>
      </c>
      <c r="D81" s="724">
        <v>0</v>
      </c>
      <c r="E81" s="724">
        <v>0</v>
      </c>
      <c r="F81" s="725">
        <f t="shared" si="2"/>
        <v>0</v>
      </c>
    </row>
    <row r="82" spans="1:6" s="11" customFormat="1" ht="30" customHeight="1">
      <c r="A82" s="721" t="s">
        <v>510</v>
      </c>
      <c r="B82" s="722"/>
      <c r="C82" s="731" t="s">
        <v>511</v>
      </c>
      <c r="D82" s="724">
        <v>0</v>
      </c>
      <c r="E82" s="724">
        <v>0</v>
      </c>
      <c r="F82" s="725">
        <f t="shared" si="2"/>
        <v>0</v>
      </c>
    </row>
    <row r="83" spans="1:6" s="11" customFormat="1" ht="30" customHeight="1">
      <c r="A83" s="721" t="s">
        <v>512</v>
      </c>
      <c r="B83" s="722"/>
      <c r="C83" s="731" t="s">
        <v>513</v>
      </c>
      <c r="D83" s="724">
        <v>0</v>
      </c>
      <c r="E83" s="724">
        <v>0</v>
      </c>
      <c r="F83" s="725">
        <f t="shared" si="2"/>
        <v>0</v>
      </c>
    </row>
    <row r="84" spans="1:6" s="11" customFormat="1" ht="30" customHeight="1">
      <c r="A84" s="721" t="s">
        <v>514</v>
      </c>
      <c r="B84" s="722"/>
      <c r="C84" s="731" t="s">
        <v>515</v>
      </c>
      <c r="D84" s="724">
        <v>45125</v>
      </c>
      <c r="E84" s="724">
        <v>0</v>
      </c>
      <c r="F84" s="725">
        <f t="shared" si="2"/>
        <v>45125</v>
      </c>
    </row>
    <row r="85" spans="1:6" s="11" customFormat="1" ht="30" customHeight="1">
      <c r="A85" s="721" t="s">
        <v>516</v>
      </c>
      <c r="B85" s="722"/>
      <c r="C85" s="731" t="s">
        <v>517</v>
      </c>
      <c r="D85" s="724">
        <v>0</v>
      </c>
      <c r="E85" s="724">
        <v>0</v>
      </c>
      <c r="F85" s="725">
        <f t="shared" si="2"/>
        <v>0</v>
      </c>
    </row>
    <row r="86" spans="1:6" s="11" customFormat="1" ht="30" customHeight="1">
      <c r="A86" s="721" t="s">
        <v>518</v>
      </c>
      <c r="B86" s="722"/>
      <c r="C86" s="731" t="s">
        <v>519</v>
      </c>
      <c r="D86" s="724">
        <v>0</v>
      </c>
      <c r="E86" s="724">
        <v>0</v>
      </c>
      <c r="F86" s="725">
        <f t="shared" si="1"/>
        <v>0</v>
      </c>
    </row>
    <row r="87" spans="1:6" s="11" customFormat="1" ht="30" customHeight="1">
      <c r="A87" s="721" t="s">
        <v>590</v>
      </c>
      <c r="B87" s="722"/>
      <c r="C87" s="731">
        <v>69100</v>
      </c>
      <c r="D87" s="724">
        <v>0</v>
      </c>
      <c r="E87" s="724">
        <v>0</v>
      </c>
      <c r="F87" s="725">
        <f t="shared" si="1"/>
        <v>0</v>
      </c>
    </row>
    <row r="88" spans="1:6" s="11" customFormat="1" ht="30" customHeight="1">
      <c r="A88" s="721" t="s">
        <v>591</v>
      </c>
      <c r="B88" s="722"/>
      <c r="C88" s="731">
        <v>69200</v>
      </c>
      <c r="D88" s="724">
        <v>0</v>
      </c>
      <c r="E88" s="724">
        <v>0</v>
      </c>
      <c r="F88" s="725">
        <f t="shared" si="1"/>
        <v>0</v>
      </c>
    </row>
    <row r="89" spans="1:6" s="11" customFormat="1" ht="30" customHeight="1">
      <c r="A89" s="721" t="s">
        <v>520</v>
      </c>
      <c r="B89" s="722"/>
      <c r="C89" s="731" t="s">
        <v>521</v>
      </c>
      <c r="D89" s="724">
        <v>0</v>
      </c>
      <c r="E89" s="724">
        <v>0</v>
      </c>
      <c r="F89" s="725">
        <f t="shared" si="1"/>
        <v>0</v>
      </c>
    </row>
    <row r="90" spans="1:6" s="11" customFormat="1" ht="30" customHeight="1">
      <c r="A90" s="721" t="s">
        <v>380</v>
      </c>
      <c r="B90" s="722"/>
      <c r="C90" s="731" t="s">
        <v>523</v>
      </c>
      <c r="D90" s="724">
        <v>0</v>
      </c>
      <c r="E90" s="724">
        <v>0</v>
      </c>
      <c r="F90" s="725">
        <f t="shared" si="1"/>
        <v>0</v>
      </c>
    </row>
    <row r="91" spans="1:6" s="11" customFormat="1" ht="30" customHeight="1" thickBot="1">
      <c r="A91" s="726" t="s">
        <v>524</v>
      </c>
      <c r="B91" s="727"/>
      <c r="C91" s="732" t="s">
        <v>525</v>
      </c>
      <c r="D91" s="724">
        <v>350232</v>
      </c>
      <c r="E91" s="724">
        <v>0</v>
      </c>
      <c r="F91" s="730">
        <f t="shared" si="1"/>
        <v>350232</v>
      </c>
    </row>
    <row r="92" spans="1:6" s="11" customFormat="1" ht="30" customHeight="1" thickBot="1">
      <c r="A92" s="835" t="s">
        <v>592</v>
      </c>
      <c r="B92" s="840"/>
      <c r="C92" s="255"/>
      <c r="D92" s="254">
        <f>SUM(D63:D91)</f>
        <v>513833</v>
      </c>
      <c r="E92" s="254">
        <f>SUM(E63:E91)</f>
        <v>0</v>
      </c>
      <c r="F92" s="254">
        <f t="shared" si="1"/>
        <v>513833</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7" t="str">
        <f>C7</f>
        <v>2026-27</v>
      </c>
      <c r="D95" s="838"/>
      <c r="E95" s="838"/>
      <c r="F95" s="839"/>
    </row>
    <row r="96" spans="1:6" s="11" customFormat="1" ht="111.6" customHeight="1" thickBot="1">
      <c r="A96" s="952" t="s">
        <v>154</v>
      </c>
      <c r="B96" s="953"/>
      <c r="C96" s="221" t="s">
        <v>259</v>
      </c>
      <c r="D96" s="222" t="s">
        <v>584</v>
      </c>
      <c r="E96" s="535" t="s">
        <v>585</v>
      </c>
      <c r="F96" s="221" t="s">
        <v>586</v>
      </c>
    </row>
    <row r="97" spans="1:6" s="11" customFormat="1" ht="30" customHeight="1">
      <c r="A97" s="223" t="s">
        <v>527</v>
      </c>
      <c r="B97" s="231"/>
      <c r="C97" s="232" t="s">
        <v>528</v>
      </c>
      <c r="D97" s="439">
        <v>0</v>
      </c>
      <c r="E97" s="439">
        <v>0</v>
      </c>
      <c r="F97" s="224">
        <f t="shared" si="1"/>
        <v>0</v>
      </c>
    </row>
    <row r="98" spans="1:6" s="11" customFormat="1" ht="30" customHeight="1">
      <c r="A98" s="721" t="s">
        <v>593</v>
      </c>
      <c r="B98" s="722"/>
      <c r="C98" s="731" t="s">
        <v>530</v>
      </c>
      <c r="D98" s="724">
        <v>0</v>
      </c>
      <c r="E98" s="724">
        <v>0</v>
      </c>
      <c r="F98" s="725">
        <f t="shared" si="1"/>
        <v>0</v>
      </c>
    </row>
    <row r="99" spans="1:6" s="11" customFormat="1" ht="30" customHeight="1">
      <c r="A99" s="721" t="s">
        <v>531</v>
      </c>
      <c r="B99" s="722"/>
      <c r="C99" s="731" t="s">
        <v>532</v>
      </c>
      <c r="D99" s="724">
        <v>0</v>
      </c>
      <c r="E99" s="724">
        <v>0</v>
      </c>
      <c r="F99" s="725">
        <f t="shared" si="1"/>
        <v>0</v>
      </c>
    </row>
    <row r="100" spans="1:6" s="11" customFormat="1" ht="30" customHeight="1">
      <c r="A100" s="721" t="s">
        <v>533</v>
      </c>
      <c r="B100" s="722"/>
      <c r="C100" s="731" t="s">
        <v>534</v>
      </c>
      <c r="D100" s="724">
        <v>0</v>
      </c>
      <c r="E100" s="724">
        <v>0</v>
      </c>
      <c r="F100" s="725">
        <f t="shared" si="1"/>
        <v>0</v>
      </c>
    </row>
    <row r="101" spans="1:6" s="11" customFormat="1" ht="30" customHeight="1">
      <c r="A101" s="721" t="s">
        <v>536</v>
      </c>
      <c r="B101" s="722"/>
      <c r="C101" s="979" t="s">
        <v>537</v>
      </c>
      <c r="D101" s="980">
        <v>0</v>
      </c>
      <c r="E101" s="980">
        <v>0</v>
      </c>
      <c r="F101" s="981">
        <f t="shared" si="1"/>
        <v>0</v>
      </c>
    </row>
    <row r="102" spans="1:6" s="11" customFormat="1" ht="30" customHeight="1">
      <c r="A102" s="1057" t="s">
        <v>708</v>
      </c>
      <c r="B102" s="1058"/>
      <c r="C102" s="1059">
        <v>73001</v>
      </c>
      <c r="D102" s="1083">
        <v>0</v>
      </c>
      <c r="E102" s="1083">
        <v>0</v>
      </c>
      <c r="F102" s="1016">
        <f t="shared" si="1"/>
        <v>0</v>
      </c>
    </row>
    <row r="103" spans="1:6" s="11" customFormat="1" ht="30" customHeight="1">
      <c r="A103" s="1060" t="s">
        <v>675</v>
      </c>
      <c r="B103" s="1061"/>
      <c r="C103" s="1062">
        <v>73002</v>
      </c>
      <c r="D103" s="1084">
        <v>0</v>
      </c>
      <c r="E103" s="1084">
        <v>0</v>
      </c>
      <c r="F103" s="1017">
        <f t="shared" si="1"/>
        <v>0</v>
      </c>
    </row>
    <row r="104" spans="1:6" s="11" customFormat="1" ht="30" customHeight="1">
      <c r="A104" s="721" t="s">
        <v>535</v>
      </c>
      <c r="B104" s="722"/>
      <c r="C104" s="1013">
        <v>73050</v>
      </c>
      <c r="D104" s="1014">
        <v>0</v>
      </c>
      <c r="E104" s="1014">
        <v>0</v>
      </c>
      <c r="F104" s="1015">
        <f>+D104+E104</f>
        <v>0</v>
      </c>
    </row>
    <row r="105" spans="1:6" s="11" customFormat="1" ht="30" customHeight="1">
      <c r="A105" s="982" t="s">
        <v>709</v>
      </c>
      <c r="B105" s="722"/>
      <c r="C105" s="979">
        <v>73100</v>
      </c>
      <c r="D105" s="980">
        <v>0</v>
      </c>
      <c r="E105" s="980">
        <v>0</v>
      </c>
      <c r="F105" s="1015">
        <f>+D105+E105</f>
        <v>0</v>
      </c>
    </row>
    <row r="106" spans="1:6" s="11" customFormat="1" ht="47.25" customHeight="1">
      <c r="A106" s="1040" t="s">
        <v>594</v>
      </c>
      <c r="B106" s="1041"/>
      <c r="C106" s="731" t="s">
        <v>539</v>
      </c>
      <c r="D106" s="724">
        <v>0</v>
      </c>
      <c r="E106" s="724">
        <v>0</v>
      </c>
      <c r="F106" s="725">
        <f t="shared" si="1"/>
        <v>0</v>
      </c>
    </row>
    <row r="107" spans="1:6" s="11" customFormat="1" ht="30" customHeight="1">
      <c r="A107" s="721" t="s">
        <v>540</v>
      </c>
      <c r="B107" s="722"/>
      <c r="C107" s="731" t="s">
        <v>541</v>
      </c>
      <c r="D107" s="724">
        <v>0</v>
      </c>
      <c r="E107" s="724">
        <v>0</v>
      </c>
      <c r="F107" s="725">
        <f t="shared" si="1"/>
        <v>0</v>
      </c>
    </row>
    <row r="108" spans="1:6" s="11" customFormat="1" ht="30" customHeight="1">
      <c r="A108" s="721" t="s">
        <v>542</v>
      </c>
      <c r="B108" s="722"/>
      <c r="C108" s="731" t="s">
        <v>543</v>
      </c>
      <c r="D108" s="724">
        <v>0</v>
      </c>
      <c r="E108" s="724">
        <v>0</v>
      </c>
      <c r="F108" s="725">
        <f t="shared" si="1"/>
        <v>0</v>
      </c>
    </row>
    <row r="109" spans="1:6" s="11" customFormat="1" ht="30" customHeight="1" thickBot="1">
      <c r="A109" s="726" t="s">
        <v>544</v>
      </c>
      <c r="B109" s="727"/>
      <c r="C109" s="732" t="s">
        <v>545</v>
      </c>
      <c r="D109" s="729">
        <v>0</v>
      </c>
      <c r="E109" s="729">
        <v>0</v>
      </c>
      <c r="F109" s="730">
        <f t="shared" si="1"/>
        <v>0</v>
      </c>
    </row>
    <row r="110" spans="1:6" s="11" customFormat="1" ht="30" customHeight="1" thickBot="1">
      <c r="A110" s="256" t="s">
        <v>546</v>
      </c>
      <c r="B110" s="257"/>
      <c r="C110" s="257"/>
      <c r="D110" s="258">
        <f>SUM(D97:D109)</f>
        <v>0</v>
      </c>
      <c r="E110" s="258">
        <f>SUM(E97:E109)</f>
        <v>0</v>
      </c>
      <c r="F110" s="258">
        <f>SUM(D110:E110)</f>
        <v>0</v>
      </c>
    </row>
    <row r="111" spans="1:6" s="11" customFormat="1" ht="30" customHeight="1" thickBot="1">
      <c r="A111" s="262"/>
      <c r="B111" s="263"/>
      <c r="C111" s="259"/>
      <c r="D111" s="260"/>
      <c r="E111" s="260"/>
      <c r="F111" s="260"/>
    </row>
    <row r="112" spans="1:6" s="172" customFormat="1" ht="30" customHeight="1" thickBot="1">
      <c r="A112" s="835" t="s">
        <v>547</v>
      </c>
      <c r="B112" s="840"/>
      <c r="C112" s="246"/>
      <c r="D112" s="254">
        <f>+D56+D92+D110</f>
        <v>2238193</v>
      </c>
      <c r="E112" s="254">
        <f>+E56+E92+E110</f>
        <v>0</v>
      </c>
      <c r="F112" s="254">
        <f>SUM(D112:E112)</f>
        <v>2238193</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50" t="s">
        <v>595</v>
      </c>
      <c r="B115" s="951"/>
      <c r="C115" s="221" t="s">
        <v>259</v>
      </c>
      <c r="D115" s="221" t="s">
        <v>584</v>
      </c>
      <c r="E115" s="221" t="s">
        <v>585</v>
      </c>
      <c r="F115" s="221" t="s">
        <v>586</v>
      </c>
    </row>
    <row r="116" spans="1:6" s="63" customFormat="1" ht="30" customHeight="1">
      <c r="A116" s="223" t="s">
        <v>596</v>
      </c>
      <c r="B116" s="250"/>
      <c r="C116" s="251"/>
      <c r="D116" s="439">
        <v>0</v>
      </c>
      <c r="E116" s="439">
        <v>0</v>
      </c>
      <c r="F116" s="224">
        <v>0</v>
      </c>
    </row>
    <row r="117" spans="1:6" s="63" customFormat="1" ht="30" customHeight="1">
      <c r="A117" s="721" t="s">
        <v>597</v>
      </c>
      <c r="B117" s="574"/>
      <c r="C117" s="733"/>
      <c r="D117" s="1039">
        <f>'EXHIBIT C'!H10</f>
        <v>1702613</v>
      </c>
      <c r="E117" s="724">
        <v>0</v>
      </c>
      <c r="F117" s="725">
        <f t="shared" ref="F117:F127" si="3">+D117+E117</f>
        <v>1702613</v>
      </c>
    </row>
    <row r="118" spans="1:6" s="63" customFormat="1" ht="30" customHeight="1">
      <c r="A118" s="721" t="s">
        <v>598</v>
      </c>
      <c r="B118" s="574"/>
      <c r="C118" s="733"/>
      <c r="D118" s="1039">
        <f>'EXHIBIT C'!F19</f>
        <v>56375</v>
      </c>
      <c r="E118" s="724">
        <v>0</v>
      </c>
      <c r="F118" s="725">
        <f t="shared" si="3"/>
        <v>56375</v>
      </c>
    </row>
    <row r="119" spans="1:6" s="63" customFormat="1" ht="50.25" customHeight="1">
      <c r="A119" s="721" t="s">
        <v>599</v>
      </c>
      <c r="B119" s="574"/>
      <c r="C119" s="733"/>
      <c r="D119" s="724">
        <v>155041</v>
      </c>
      <c r="E119" s="724">
        <v>0</v>
      </c>
      <c r="F119" s="725">
        <f t="shared" si="3"/>
        <v>155041</v>
      </c>
    </row>
    <row r="120" spans="1:6" s="63" customFormat="1" ht="30" customHeight="1">
      <c r="A120" s="721" t="s">
        <v>600</v>
      </c>
      <c r="B120" s="574"/>
      <c r="C120" s="733"/>
      <c r="D120" s="724">
        <v>0</v>
      </c>
      <c r="E120" s="724">
        <v>0</v>
      </c>
      <c r="F120" s="725">
        <f t="shared" si="3"/>
        <v>0</v>
      </c>
    </row>
    <row r="121" spans="1:6" s="63" customFormat="1" ht="30" customHeight="1">
      <c r="A121" s="954" t="s">
        <v>671</v>
      </c>
      <c r="B121" s="574"/>
      <c r="C121" s="733"/>
      <c r="D121" s="724">
        <v>0</v>
      </c>
      <c r="E121" s="724">
        <v>0</v>
      </c>
      <c r="F121" s="725">
        <f t="shared" si="3"/>
        <v>0</v>
      </c>
    </row>
    <row r="122" spans="1:6" s="63" customFormat="1" ht="30" customHeight="1">
      <c r="A122" s="721" t="s">
        <v>601</v>
      </c>
      <c r="B122" s="574"/>
      <c r="C122" s="733"/>
      <c r="D122" s="724">
        <v>178164</v>
      </c>
      <c r="E122" s="724">
        <v>0</v>
      </c>
      <c r="F122" s="725">
        <f t="shared" si="3"/>
        <v>178164</v>
      </c>
    </row>
    <row r="123" spans="1:6" s="63" customFormat="1" ht="30" customHeight="1">
      <c r="A123" s="721" t="s">
        <v>602</v>
      </c>
      <c r="B123" s="574"/>
      <c r="C123" s="733"/>
      <c r="D123" s="724">
        <v>0</v>
      </c>
      <c r="E123" s="724">
        <v>0</v>
      </c>
      <c r="F123" s="725">
        <f t="shared" si="3"/>
        <v>0</v>
      </c>
    </row>
    <row r="124" spans="1:6" s="63" customFormat="1" ht="30" customHeight="1">
      <c r="A124" s="721" t="s">
        <v>603</v>
      </c>
      <c r="B124" s="574"/>
      <c r="C124" s="733"/>
      <c r="D124" s="724">
        <v>0</v>
      </c>
      <c r="E124" s="724">
        <v>0</v>
      </c>
      <c r="F124" s="725">
        <f t="shared" si="3"/>
        <v>0</v>
      </c>
    </row>
    <row r="125" spans="1:6" s="63" customFormat="1" ht="30" customHeight="1">
      <c r="A125" s="721" t="s">
        <v>604</v>
      </c>
      <c r="B125" s="574"/>
      <c r="C125" s="733"/>
      <c r="D125" s="724">
        <v>146000</v>
      </c>
      <c r="E125" s="724">
        <v>0</v>
      </c>
      <c r="F125" s="725">
        <f t="shared" si="3"/>
        <v>146000</v>
      </c>
    </row>
    <row r="126" spans="1:6" ht="24.75" customHeight="1">
      <c r="A126" s="721" t="s">
        <v>605</v>
      </c>
      <c r="B126" s="574"/>
      <c r="C126" s="733"/>
      <c r="D126" s="724">
        <v>0</v>
      </c>
      <c r="E126" s="724">
        <v>0</v>
      </c>
      <c r="F126" s="725">
        <f t="shared" si="3"/>
        <v>0</v>
      </c>
    </row>
    <row r="127" spans="1:6" ht="22.5" customHeight="1" thickBot="1">
      <c r="A127" s="726" t="s">
        <v>606</v>
      </c>
      <c r="B127" s="734"/>
      <c r="C127" s="735"/>
      <c r="D127" s="729">
        <v>0</v>
      </c>
      <c r="E127" s="729">
        <v>0</v>
      </c>
      <c r="F127" s="730">
        <f t="shared" si="3"/>
        <v>0</v>
      </c>
    </row>
    <row r="128" spans="1:6" ht="110.1" customHeight="1" thickBot="1">
      <c r="A128" s="835" t="s">
        <v>607</v>
      </c>
      <c r="B128" s="836"/>
      <c r="C128" s="246"/>
      <c r="D128" s="247">
        <f>SUM(D116:D127)</f>
        <v>2238193</v>
      </c>
      <c r="E128" s="248">
        <f>SUM(E116:E127)</f>
        <v>0</v>
      </c>
      <c r="F128" s="249">
        <f>SUM(F116:F127)</f>
        <v>2238193</v>
      </c>
    </row>
    <row r="129" spans="1:6" ht="14.1" customHeight="1">
      <c r="A129" s="237"/>
      <c r="B129" s="237"/>
      <c r="C129" s="238"/>
      <c r="D129" s="239"/>
      <c r="E129" s="239"/>
      <c r="F129" s="239"/>
    </row>
    <row r="130" spans="1:6" ht="83.25" customHeight="1">
      <c r="A130" s="898" t="s">
        <v>747</v>
      </c>
      <c r="B130" s="898"/>
      <c r="C130" s="899"/>
      <c r="D130" s="240">
        <f>D128-D112</f>
        <v>0</v>
      </c>
      <c r="E130" s="240">
        <f>E128-E112</f>
        <v>0</v>
      </c>
      <c r="F130" s="240">
        <f>F128-F112</f>
        <v>0</v>
      </c>
    </row>
    <row r="131" spans="1:6" ht="30" customHeight="1">
      <c r="A131" s="237"/>
      <c r="B131" s="237"/>
      <c r="C131" s="238"/>
      <c r="D131" s="239"/>
      <c r="E131" s="239"/>
      <c r="F131" s="239"/>
    </row>
    <row r="132" spans="1:6" ht="30" customHeight="1" thickBot="1">
      <c r="A132" s="443" t="s">
        <v>748</v>
      </c>
      <c r="B132" s="11"/>
      <c r="C132" s="11"/>
      <c r="D132" s="241"/>
      <c r="E132" s="241"/>
      <c r="F132" s="242"/>
    </row>
    <row r="133" spans="1:6" ht="238.5" customHeight="1" thickBot="1">
      <c r="A133" s="1042"/>
      <c r="B133" s="1043"/>
      <c r="C133" s="1043"/>
      <c r="D133" s="1043"/>
      <c r="E133" s="1043"/>
      <c r="F133" s="1044"/>
    </row>
    <row r="134" spans="1:6" ht="30" customHeight="1">
      <c r="A134" s="440"/>
      <c r="B134" s="440"/>
      <c r="C134" s="440"/>
      <c r="D134" s="440"/>
      <c r="E134" s="440"/>
      <c r="F134" s="440"/>
    </row>
    <row r="135" spans="1:6" ht="30" customHeight="1" thickBot="1">
      <c r="A135" s="443" t="s">
        <v>608</v>
      </c>
      <c r="B135" s="441"/>
      <c r="C135" s="441"/>
      <c r="D135" s="241"/>
      <c r="E135" s="241"/>
      <c r="F135" s="242"/>
    </row>
    <row r="136" spans="1:6" ht="207" customHeight="1" thickBot="1">
      <c r="A136" s="1042"/>
      <c r="B136" s="1043"/>
      <c r="C136" s="1043"/>
      <c r="D136" s="1043"/>
      <c r="E136" s="1043"/>
      <c r="F136" s="1044"/>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topLeftCell="A19" zoomScale="80" zoomScaleNormal="80" zoomScaleSheetLayoutView="90" zoomScalePageLayoutView="70" workbookViewId="0"/>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8" t="s">
        <v>11</v>
      </c>
      <c r="C1" s="878"/>
      <c r="D1" s="878"/>
      <c r="E1" s="878"/>
      <c r="F1" s="264"/>
      <c r="G1" s="264"/>
    </row>
    <row r="2" spans="2:7" ht="26.25">
      <c r="B2" s="878" t="s">
        <v>749</v>
      </c>
      <c r="C2" s="878"/>
      <c r="D2" s="878"/>
      <c r="E2" s="878"/>
      <c r="F2" s="264"/>
      <c r="G2" s="264"/>
    </row>
    <row r="3" spans="2:7" ht="21">
      <c r="B3" s="868"/>
      <c r="C3" s="868"/>
      <c r="D3" s="868"/>
      <c r="E3" s="868"/>
      <c r="F3" s="264"/>
      <c r="G3" s="264"/>
    </row>
    <row r="4" spans="2:7" ht="21.75" thickBot="1">
      <c r="B4" s="978"/>
      <c r="C4" s="978"/>
      <c r="D4" s="978"/>
      <c r="E4" s="978"/>
      <c r="F4" s="264"/>
      <c r="G4" s="264"/>
    </row>
    <row r="5" spans="2:7" ht="48" customHeight="1">
      <c r="B5" s="861" t="s">
        <v>609</v>
      </c>
      <c r="C5" s="958" t="s">
        <v>610</v>
      </c>
      <c r="D5" s="959"/>
      <c r="E5" s="960"/>
    </row>
    <row r="6" spans="2:7">
      <c r="B6" s="862"/>
      <c r="C6" s="849" t="s">
        <v>611</v>
      </c>
      <c r="D6" s="736" t="s">
        <v>612</v>
      </c>
      <c r="E6" s="737" t="s">
        <v>613</v>
      </c>
    </row>
    <row r="7" spans="2:7" ht="29.25" customHeight="1">
      <c r="B7" s="863"/>
      <c r="C7" s="850"/>
      <c r="D7" s="738">
        <v>-0.1</v>
      </c>
      <c r="E7" s="739">
        <v>0.15</v>
      </c>
    </row>
    <row r="8" spans="2:7" ht="15" customHeight="1">
      <c r="B8" s="740" t="s">
        <v>191</v>
      </c>
      <c r="C8" s="741">
        <v>71.975999999999999</v>
      </c>
      <c r="D8" s="741">
        <v>64.78</v>
      </c>
      <c r="E8" s="742">
        <v>82.78</v>
      </c>
    </row>
    <row r="9" spans="2:7" ht="15" customHeight="1">
      <c r="B9" s="743" t="s">
        <v>614</v>
      </c>
      <c r="C9" s="744">
        <v>3.6</v>
      </c>
      <c r="D9" s="744">
        <v>3.24</v>
      </c>
      <c r="E9" s="745">
        <v>4.1399999999999997</v>
      </c>
    </row>
    <row r="10" spans="2:7" ht="15" customHeight="1">
      <c r="B10" s="743" t="s">
        <v>615</v>
      </c>
      <c r="C10" s="744">
        <v>3.6</v>
      </c>
      <c r="D10" s="744">
        <v>3.24</v>
      </c>
      <c r="E10" s="745">
        <v>4.1399999999999997</v>
      </c>
    </row>
    <row r="11" spans="2:7" ht="15" customHeight="1">
      <c r="B11" s="746" t="s">
        <v>616</v>
      </c>
      <c r="C11" s="744">
        <v>7.2</v>
      </c>
      <c r="D11" s="744">
        <v>6.48</v>
      </c>
      <c r="E11" s="745">
        <v>8.2799999999999994</v>
      </c>
      <c r="F11" s="172"/>
    </row>
    <row r="12" spans="2:7" ht="15" customHeight="1">
      <c r="B12" s="747" t="s">
        <v>617</v>
      </c>
      <c r="C12" s="748"/>
      <c r="D12" s="748"/>
      <c r="E12" s="749"/>
    </row>
    <row r="13" spans="2:7" ht="42.6" customHeight="1">
      <c r="B13" s="864" t="s">
        <v>618</v>
      </c>
      <c r="C13" s="955" t="s">
        <v>610</v>
      </c>
      <c r="D13" s="956"/>
      <c r="E13" s="957"/>
    </row>
    <row r="14" spans="2:7">
      <c r="B14" s="862"/>
      <c r="C14" s="849" t="s">
        <v>611</v>
      </c>
      <c r="D14" s="750" t="s">
        <v>612</v>
      </c>
      <c r="E14" s="751" t="s">
        <v>613</v>
      </c>
    </row>
    <row r="15" spans="2:7">
      <c r="B15" s="863"/>
      <c r="C15" s="850"/>
      <c r="D15" s="738">
        <f>D7</f>
        <v>-0.1</v>
      </c>
      <c r="E15" s="739">
        <f>E7</f>
        <v>0.15</v>
      </c>
    </row>
    <row r="16" spans="2:7" ht="15" customHeight="1">
      <c r="B16" s="752" t="s">
        <v>191</v>
      </c>
      <c r="C16" s="744">
        <v>71.975999999999999</v>
      </c>
      <c r="D16" s="744">
        <v>64.78</v>
      </c>
      <c r="E16" s="745">
        <v>82.78</v>
      </c>
    </row>
    <row r="17" spans="2:5" ht="15" customHeight="1">
      <c r="B17" s="752" t="s">
        <v>619</v>
      </c>
      <c r="C17" s="744">
        <v>215.93799999999999</v>
      </c>
      <c r="D17" s="744">
        <v>194.35</v>
      </c>
      <c r="E17" s="745">
        <v>248.33</v>
      </c>
    </row>
    <row r="18" spans="2:5" ht="15" customHeight="1">
      <c r="B18" s="747" t="s">
        <v>620</v>
      </c>
      <c r="C18" s="744">
        <v>14.4</v>
      </c>
      <c r="D18" s="744">
        <v>12.96</v>
      </c>
      <c r="E18" s="745">
        <v>16.559999999999999</v>
      </c>
    </row>
    <row r="19" spans="2:5" ht="15" customHeight="1">
      <c r="B19" s="747" t="s">
        <v>621</v>
      </c>
      <c r="C19" s="744">
        <v>14.4</v>
      </c>
      <c r="D19" s="744">
        <v>12.96</v>
      </c>
      <c r="E19" s="745">
        <v>16.559999999999999</v>
      </c>
    </row>
    <row r="20" spans="2:5" ht="15" customHeight="1">
      <c r="B20" s="753" t="s">
        <v>622</v>
      </c>
      <c r="C20" s="744">
        <v>7.2</v>
      </c>
      <c r="D20" s="744">
        <v>6.48</v>
      </c>
      <c r="E20" s="745">
        <v>8.2799999999999994</v>
      </c>
    </row>
    <row r="21" spans="2:5" ht="15" customHeight="1" thickBot="1">
      <c r="B21" s="754" t="s">
        <v>623</v>
      </c>
      <c r="C21" s="755">
        <v>57.58</v>
      </c>
      <c r="D21" s="755">
        <v>51.83</v>
      </c>
      <c r="E21" s="756">
        <v>66.22</v>
      </c>
    </row>
    <row r="22" spans="2:5" ht="16.5" thickBot="1">
      <c r="B22" s="266"/>
    </row>
    <row r="23" spans="2:5" ht="34.35" customHeight="1">
      <c r="B23" s="865" t="s">
        <v>624</v>
      </c>
      <c r="C23" s="961" t="s">
        <v>610</v>
      </c>
      <c r="D23" s="962"/>
      <c r="E23" s="963"/>
    </row>
    <row r="24" spans="2:5">
      <c r="B24" s="866"/>
      <c r="C24" s="849" t="s">
        <v>611</v>
      </c>
      <c r="D24" s="736" t="s">
        <v>612</v>
      </c>
      <c r="E24" s="757" t="s">
        <v>613</v>
      </c>
    </row>
    <row r="25" spans="2:5">
      <c r="B25" s="867"/>
      <c r="C25" s="850"/>
      <c r="D25" s="738">
        <v>0</v>
      </c>
      <c r="E25" s="758">
        <v>0</v>
      </c>
    </row>
    <row r="26" spans="2:5" ht="15" customHeight="1">
      <c r="B26" s="759" t="s">
        <v>191</v>
      </c>
      <c r="C26" s="744">
        <v>91.79</v>
      </c>
      <c r="D26" s="744">
        <f>ROUND(C26*(1+D25),2)</f>
        <v>91.79</v>
      </c>
      <c r="E26" s="760">
        <f>ROUND(C26*(1+E25),2)</f>
        <v>91.79</v>
      </c>
    </row>
    <row r="27" spans="2:5" ht="15" customHeight="1">
      <c r="B27" s="761" t="s">
        <v>614</v>
      </c>
      <c r="C27" s="744">
        <v>4.59</v>
      </c>
      <c r="D27" s="744">
        <v>4.59</v>
      </c>
      <c r="E27" s="760">
        <v>4.59</v>
      </c>
    </row>
    <row r="28" spans="2:5" ht="15" customHeight="1">
      <c r="B28" s="761" t="s">
        <v>615</v>
      </c>
      <c r="C28" s="744">
        <v>4.59</v>
      </c>
      <c r="D28" s="744">
        <v>4.59</v>
      </c>
      <c r="E28" s="760">
        <v>4.59</v>
      </c>
    </row>
    <row r="29" spans="2:5" ht="15" customHeight="1">
      <c r="B29" s="762" t="s">
        <v>616</v>
      </c>
      <c r="C29" s="744">
        <v>9.18</v>
      </c>
      <c r="D29" s="744">
        <v>9.18</v>
      </c>
      <c r="E29" s="760">
        <v>9.18</v>
      </c>
    </row>
    <row r="30" spans="2:5" ht="15" customHeight="1">
      <c r="B30" s="761" t="s">
        <v>625</v>
      </c>
      <c r="C30" s="748"/>
      <c r="D30" s="748"/>
      <c r="E30" s="763"/>
    </row>
    <row r="31" spans="2:5" ht="41.45" customHeight="1">
      <c r="B31" s="856" t="s">
        <v>626</v>
      </c>
      <c r="C31" s="955" t="s">
        <v>610</v>
      </c>
      <c r="D31" s="956"/>
      <c r="E31" s="964"/>
    </row>
    <row r="32" spans="2:5">
      <c r="B32" s="857"/>
      <c r="C32" s="849" t="s">
        <v>611</v>
      </c>
      <c r="D32" s="736" t="s">
        <v>612</v>
      </c>
      <c r="E32" s="757" t="s">
        <v>613</v>
      </c>
    </row>
    <row r="33" spans="2:7">
      <c r="B33" s="858"/>
      <c r="C33" s="850"/>
      <c r="D33" s="738">
        <f>D25</f>
        <v>0</v>
      </c>
      <c r="E33" s="758">
        <f>E25</f>
        <v>0</v>
      </c>
    </row>
    <row r="34" spans="2:7" ht="15" customHeight="1">
      <c r="B34" s="759" t="s">
        <v>191</v>
      </c>
      <c r="C34" s="744">
        <v>91.79</v>
      </c>
      <c r="D34" s="744">
        <f>ROUND(C34*(1+D33),2)</f>
        <v>91.79</v>
      </c>
      <c r="E34" s="760">
        <f>ROUND(C34*(1+E33),2)</f>
        <v>91.79</v>
      </c>
    </row>
    <row r="35" spans="2:7" ht="15" customHeight="1">
      <c r="B35" s="759" t="s">
        <v>619</v>
      </c>
      <c r="C35" s="764" t="s">
        <v>627</v>
      </c>
      <c r="D35" s="764" t="s">
        <v>627</v>
      </c>
      <c r="E35" s="765" t="s">
        <v>627</v>
      </c>
    </row>
    <row r="36" spans="2:7" ht="15" customHeight="1">
      <c r="B36" s="761" t="s">
        <v>620</v>
      </c>
      <c r="C36" s="764" t="s">
        <v>627</v>
      </c>
      <c r="D36" s="764" t="s">
        <v>627</v>
      </c>
      <c r="E36" s="765" t="s">
        <v>627</v>
      </c>
    </row>
    <row r="37" spans="2:7" ht="15" customHeight="1">
      <c r="B37" s="761" t="s">
        <v>621</v>
      </c>
      <c r="C37" s="764" t="s">
        <v>627</v>
      </c>
      <c r="D37" s="764" t="s">
        <v>627</v>
      </c>
      <c r="E37" s="765" t="s">
        <v>627</v>
      </c>
    </row>
    <row r="38" spans="2:7" ht="15" customHeight="1">
      <c r="B38" s="762" t="s">
        <v>622</v>
      </c>
      <c r="C38" s="744">
        <f>C29</f>
        <v>9.18</v>
      </c>
      <c r="D38" s="744">
        <f>D29</f>
        <v>9.18</v>
      </c>
      <c r="E38" s="760">
        <f>E29</f>
        <v>9.18</v>
      </c>
    </row>
    <row r="39" spans="2:7" ht="15" customHeight="1" thickBot="1">
      <c r="B39" s="766" t="s">
        <v>623</v>
      </c>
      <c r="C39" s="767" t="s">
        <v>627</v>
      </c>
      <c r="D39" s="767" t="s">
        <v>627</v>
      </c>
      <c r="E39" s="768" t="s">
        <v>627</v>
      </c>
    </row>
    <row r="40" spans="2:7">
      <c r="B40" s="266"/>
      <c r="C40" s="267"/>
      <c r="D40" s="267"/>
      <c r="E40" s="267"/>
    </row>
    <row r="41" spans="2:7">
      <c r="B41" s="268" t="s">
        <v>628</v>
      </c>
      <c r="C41" s="269"/>
      <c r="D41" s="269"/>
      <c r="E41" s="269"/>
    </row>
    <row r="42" spans="2:7" ht="48" customHeight="1">
      <c r="B42" s="859" t="s">
        <v>629</v>
      </c>
      <c r="C42" s="859"/>
      <c r="D42" s="859"/>
      <c r="E42" s="859"/>
    </row>
    <row r="43" spans="2:7">
      <c r="B43" s="859"/>
      <c r="C43" s="859"/>
      <c r="D43" s="859"/>
      <c r="E43" s="859"/>
    </row>
    <row r="44" spans="2:7">
      <c r="B44" s="270"/>
      <c r="C44" s="270"/>
      <c r="D44" s="270"/>
      <c r="E44" s="270"/>
    </row>
    <row r="45" spans="2:7">
      <c r="B45" s="265" t="s">
        <v>630</v>
      </c>
      <c r="C45" s="270"/>
      <c r="D45" s="270"/>
      <c r="E45" s="270"/>
    </row>
    <row r="46" spans="2:7">
      <c r="B46" s="271" t="str">
        <f>"the maximum tuition rate.  Maximum credit tuition rate = "&amp;TEXT(E16,"$0.00")</f>
        <v>the maximum tuition rate.  Maximum credit tuition rate = $82.78</v>
      </c>
      <c r="C46" s="900"/>
    </row>
    <row r="47" spans="2:7">
      <c r="B47" s="271" t="s">
        <v>631</v>
      </c>
      <c r="G47" s="901"/>
    </row>
    <row r="49" spans="2:5" ht="15" customHeight="1">
      <c r="B49" s="859"/>
      <c r="C49" s="859"/>
      <c r="D49" s="859"/>
      <c r="E49" s="859"/>
    </row>
    <row r="50" spans="2:5">
      <c r="B50" s="859"/>
      <c r="C50" s="859"/>
      <c r="D50" s="859"/>
      <c r="E50" s="859"/>
    </row>
    <row r="51" spans="2:5">
      <c r="B51" s="859"/>
      <c r="C51" s="859"/>
      <c r="D51" s="859"/>
      <c r="E51" s="859"/>
    </row>
    <row r="52" spans="2:5" ht="21">
      <c r="B52" s="868" t="str">
        <f>B1</f>
        <v>THE FLORIDA COLLEGE SYSTEM</v>
      </c>
      <c r="C52" s="868"/>
      <c r="D52" s="868"/>
      <c r="E52" s="868"/>
    </row>
    <row r="53" spans="2:5" ht="21">
      <c r="B53" s="868" t="str">
        <f>B2&amp;" , cont."</f>
        <v>FALL 2026-27 TUITION INCREASED BY 0% , cont.</v>
      </c>
      <c r="C53" s="868"/>
      <c r="D53" s="868"/>
      <c r="E53" s="868"/>
    </row>
    <row r="54" spans="2:5" ht="21">
      <c r="B54" s="868"/>
      <c r="C54" s="868"/>
      <c r="D54" s="868"/>
      <c r="E54" s="868"/>
    </row>
    <row r="55" spans="2:5" ht="16.5" thickBot="1">
      <c r="B55" s="266"/>
      <c r="C55" s="267"/>
      <c r="D55" s="267"/>
      <c r="E55" s="267"/>
    </row>
    <row r="56" spans="2:5" ht="33" customHeight="1">
      <c r="B56" s="851" t="s">
        <v>632</v>
      </c>
      <c r="C56" s="961" t="s">
        <v>610</v>
      </c>
      <c r="D56" s="962"/>
      <c r="E56" s="963"/>
    </row>
    <row r="57" spans="2:5">
      <c r="B57" s="852"/>
      <c r="C57" s="849" t="s">
        <v>611</v>
      </c>
      <c r="D57" s="736" t="s">
        <v>612</v>
      </c>
      <c r="E57" s="757" t="s">
        <v>613</v>
      </c>
    </row>
    <row r="58" spans="2:5">
      <c r="B58" s="853"/>
      <c r="C58" s="850"/>
      <c r="D58" s="738">
        <v>-0.05</v>
      </c>
      <c r="E58" s="758">
        <v>0.05</v>
      </c>
    </row>
    <row r="59" spans="2:5" ht="15" customHeight="1">
      <c r="B59" s="759" t="s">
        <v>191</v>
      </c>
      <c r="C59" s="744">
        <v>69.900000000000006</v>
      </c>
      <c r="D59" s="744">
        <f>ROUND(C59*(1+D58),2)</f>
        <v>66.41</v>
      </c>
      <c r="E59" s="760">
        <f>ROUND(C59*(1+E58),2)</f>
        <v>73.400000000000006</v>
      </c>
    </row>
    <row r="60" spans="2:5" ht="15" customHeight="1">
      <c r="B60" s="761" t="s">
        <v>633</v>
      </c>
      <c r="C60" s="744">
        <v>6.99</v>
      </c>
      <c r="D60" s="769">
        <f>ROUND(D59*'DISCRETIONARY FEE PERCENTAGES'!$B$6,2)</f>
        <v>6.64</v>
      </c>
      <c r="E60" s="760">
        <f>ROUND(E59*'DISCRETIONARY FEE PERCENTAGES'!$B$6,2)</f>
        <v>7.34</v>
      </c>
    </row>
    <row r="61" spans="2:5" ht="15" customHeight="1">
      <c r="B61" s="761" t="s">
        <v>615</v>
      </c>
      <c r="C61" s="744">
        <v>3.5</v>
      </c>
      <c r="D61" s="769">
        <f>ROUND(D59*'DISCRETIONARY FEE PERCENTAGES'!$B$25,2)</f>
        <v>3.32</v>
      </c>
      <c r="E61" s="760">
        <f>ROUND(E59*'DISCRETIONARY FEE PERCENTAGES'!$B$25,2)</f>
        <v>3.67</v>
      </c>
    </row>
    <row r="62" spans="2:5" ht="15" customHeight="1">
      <c r="B62" s="761" t="s">
        <v>634</v>
      </c>
      <c r="C62" s="744">
        <v>3.5</v>
      </c>
      <c r="D62" s="769">
        <f>ROUND(D59*'DISCRETIONARY FEE PERCENTAGES'!$B$19,2)</f>
        <v>3.32</v>
      </c>
      <c r="E62" s="760">
        <f>ROUND(E59*'DISCRETIONARY FEE PERCENTAGES'!$B$19,2)</f>
        <v>3.67</v>
      </c>
    </row>
    <row r="63" spans="2:5" ht="33" customHeight="1">
      <c r="B63" s="854" t="s">
        <v>635</v>
      </c>
      <c r="C63" s="955" t="s">
        <v>610</v>
      </c>
      <c r="D63" s="956"/>
      <c r="E63" s="964"/>
    </row>
    <row r="64" spans="2:5">
      <c r="B64" s="852"/>
      <c r="C64" s="849" t="s">
        <v>611</v>
      </c>
      <c r="D64" s="736" t="s">
        <v>612</v>
      </c>
      <c r="E64" s="757" t="s">
        <v>613</v>
      </c>
    </row>
    <row r="65" spans="2:16">
      <c r="B65" s="853"/>
      <c r="C65" s="850"/>
      <c r="D65" s="738">
        <f>D58</f>
        <v>-0.05</v>
      </c>
      <c r="E65" s="758">
        <f>E58</f>
        <v>0.05</v>
      </c>
    </row>
    <row r="66" spans="2:16" ht="15" customHeight="1">
      <c r="B66" s="759" t="s">
        <v>191</v>
      </c>
      <c r="C66" s="744">
        <v>69.900000000000006</v>
      </c>
      <c r="D66" s="744">
        <f>ROUND(C66*(1+D65),2)</f>
        <v>66.41</v>
      </c>
      <c r="E66" s="760">
        <f>ROUND(C66*(1+E65),2)</f>
        <v>73.400000000000006</v>
      </c>
    </row>
    <row r="67" spans="2:16" ht="15" customHeight="1">
      <c r="B67" s="759" t="s">
        <v>619</v>
      </c>
      <c r="C67" s="744">
        <v>209.70000000000002</v>
      </c>
      <c r="D67" s="744">
        <f>ROUND(C67*(1+D65),2)</f>
        <v>199.22</v>
      </c>
      <c r="E67" s="760">
        <f>ROUND(C67*(1+E65),2)</f>
        <v>220.19</v>
      </c>
    </row>
    <row r="68" spans="2:16" ht="15" customHeight="1">
      <c r="B68" s="761" t="s">
        <v>636</v>
      </c>
      <c r="C68" s="744">
        <v>27.96</v>
      </c>
      <c r="D68" s="769">
        <f>ROUND((D66+D67)*'DISCRETIONARY FEE PERCENTAGES'!$B$10,2)</f>
        <v>26.56</v>
      </c>
      <c r="E68" s="760">
        <f>ROUND((E66+E67)*'DISCRETIONARY FEE PERCENTAGES'!$B$10,2)</f>
        <v>29.36</v>
      </c>
    </row>
    <row r="69" spans="2:16" ht="15" customHeight="1">
      <c r="B69" s="761" t="s">
        <v>621</v>
      </c>
      <c r="C69" s="744">
        <v>13.98</v>
      </c>
      <c r="D69" s="769">
        <f>ROUND((D66+D67)*'DISCRETIONARY FEE PERCENTAGES'!$B$28,2)</f>
        <v>13.28</v>
      </c>
      <c r="E69" s="760">
        <f>ROUND((E66+E67)*'DISCRETIONARY FEE PERCENTAGES'!$B$28,2)</f>
        <v>14.68</v>
      </c>
    </row>
    <row r="70" spans="2:16" ht="15" customHeight="1" thickBot="1">
      <c r="B70" s="766" t="s">
        <v>637</v>
      </c>
      <c r="C70" s="770">
        <v>13.98</v>
      </c>
      <c r="D70" s="771">
        <f>ROUND((D66+D67)*'DISCRETIONARY FEE PERCENTAGES'!$B$22,2)</f>
        <v>13.28</v>
      </c>
      <c r="E70" s="772">
        <f>ROUND((E66+E67)*'DISCRETIONARY FEE PERCENTAGES'!$B$22,2)</f>
        <v>14.68</v>
      </c>
    </row>
    <row r="71" spans="2:16" ht="16.5" thickBot="1">
      <c r="B71" s="266"/>
      <c r="C71" s="272"/>
      <c r="D71" s="272"/>
      <c r="E71" s="272"/>
    </row>
    <row r="72" spans="2:16" ht="32.25" customHeight="1">
      <c r="B72" s="846" t="s">
        <v>638</v>
      </c>
      <c r="C72" s="961" t="s">
        <v>639</v>
      </c>
      <c r="D72" s="962"/>
      <c r="E72" s="963"/>
    </row>
    <row r="73" spans="2:16">
      <c r="B73" s="847"/>
      <c r="C73" s="849" t="s">
        <v>611</v>
      </c>
      <c r="D73" s="736" t="s">
        <v>612</v>
      </c>
      <c r="E73" s="757" t="s">
        <v>613</v>
      </c>
    </row>
    <row r="74" spans="2:16">
      <c r="B74" s="848"/>
      <c r="C74" s="850"/>
      <c r="D74" s="738">
        <v>-0.05</v>
      </c>
      <c r="E74" s="758">
        <v>0.05</v>
      </c>
    </row>
    <row r="75" spans="2:16" ht="15" customHeight="1">
      <c r="B75" s="759" t="s">
        <v>640</v>
      </c>
      <c r="C75" s="744">
        <v>30</v>
      </c>
      <c r="D75" s="744">
        <f>ROUND(C75*(1+D74),2)</f>
        <v>28.5</v>
      </c>
      <c r="E75" s="760">
        <f>ROUND(C75*(1+E74),2)</f>
        <v>31.5</v>
      </c>
    </row>
    <row r="76" spans="2:16" ht="15" customHeight="1">
      <c r="B76" s="759"/>
      <c r="C76" s="744"/>
      <c r="D76" s="744"/>
      <c r="E76" s="760"/>
      <c r="F76" s="860"/>
      <c r="G76" s="860"/>
      <c r="H76" s="860"/>
      <c r="I76" s="860"/>
      <c r="J76" s="860"/>
      <c r="K76" s="860"/>
      <c r="L76" s="860"/>
      <c r="M76" s="860"/>
      <c r="N76" s="860"/>
      <c r="O76" s="860"/>
      <c r="P76" s="860"/>
    </row>
    <row r="77" spans="2:16" ht="15" customHeight="1">
      <c r="B77" s="759" t="s">
        <v>641</v>
      </c>
      <c r="C77" s="744">
        <v>45</v>
      </c>
      <c r="D77" s="744">
        <f>ROUND(C77*(1+D74),2)</f>
        <v>42.75</v>
      </c>
      <c r="E77" s="773">
        <f>ROUND(C77*(1+E74),2)</f>
        <v>47.25</v>
      </c>
    </row>
    <row r="78" spans="2:16" ht="15" customHeight="1">
      <c r="C78" s="272"/>
      <c r="D78" s="272"/>
      <c r="E78" s="272"/>
      <c r="F78" s="860"/>
      <c r="G78" s="860"/>
      <c r="H78" s="860"/>
      <c r="I78" s="860"/>
      <c r="J78" s="860"/>
      <c r="K78" s="860"/>
      <c r="L78" s="860"/>
      <c r="M78" s="860"/>
      <c r="N78" s="860"/>
      <c r="O78" s="860"/>
      <c r="P78" s="860"/>
    </row>
    <row r="79" spans="2:16" ht="15" customHeight="1">
      <c r="B79" s="268" t="s">
        <v>642</v>
      </c>
      <c r="C79" s="269"/>
      <c r="D79" s="269"/>
      <c r="E79" s="269"/>
    </row>
    <row r="80" spans="2:16" ht="15" customHeight="1">
      <c r="B80" s="268"/>
      <c r="C80" s="269"/>
      <c r="D80" s="269"/>
      <c r="E80" s="269"/>
    </row>
    <row r="81" spans="2:5" ht="48" customHeight="1">
      <c r="B81" s="855" t="s">
        <v>643</v>
      </c>
      <c r="C81" s="855"/>
      <c r="D81" s="855"/>
      <c r="E81" s="855"/>
    </row>
    <row r="83" spans="2:5" ht="15" customHeight="1"/>
    <row r="85" spans="2:5">
      <c r="C85" s="902"/>
      <c r="D85" s="902"/>
      <c r="E85" s="902"/>
    </row>
    <row r="86" spans="2:5">
      <c r="C86" s="270"/>
      <c r="D86" s="270"/>
      <c r="E86" s="270"/>
    </row>
    <row r="87" spans="2:5">
      <c r="C87" s="900"/>
    </row>
    <row r="88" spans="2:5">
      <c r="C88" s="900"/>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8" t="s">
        <v>11</v>
      </c>
      <c r="B1" s="878"/>
      <c r="C1" s="878"/>
    </row>
    <row r="2" spans="1:3" s="79" customFormat="1" ht="21" customHeight="1" thickBot="1">
      <c r="A2" s="878" t="s">
        <v>690</v>
      </c>
      <c r="B2" s="878"/>
      <c r="C2" s="878"/>
    </row>
    <row r="3" spans="1:3" s="79" customFormat="1" ht="26.45" customHeight="1">
      <c r="A3" s="977" t="s">
        <v>644</v>
      </c>
      <c r="B3" s="965"/>
      <c r="C3" s="966"/>
    </row>
    <row r="4" spans="1:3" s="79" customFormat="1" ht="42">
      <c r="A4" s="774" t="s">
        <v>645</v>
      </c>
      <c r="B4" s="775">
        <v>7.0000000000000007E-2</v>
      </c>
      <c r="C4" s="776" t="s">
        <v>646</v>
      </c>
    </row>
    <row r="5" spans="1:3" s="79" customFormat="1" ht="42">
      <c r="A5" s="774" t="s">
        <v>647</v>
      </c>
      <c r="B5" s="775">
        <v>0.05</v>
      </c>
      <c r="C5" s="776" t="s">
        <v>646</v>
      </c>
    </row>
    <row r="6" spans="1:3" s="79" customFormat="1" ht="30.95" customHeight="1">
      <c r="A6" s="777" t="s">
        <v>648</v>
      </c>
      <c r="B6" s="778">
        <v>0.1</v>
      </c>
      <c r="C6" s="779" t="s">
        <v>646</v>
      </c>
    </row>
    <row r="7" spans="1:3" s="79" customFormat="1" ht="26.45" customHeight="1">
      <c r="A7" s="971" t="s">
        <v>649</v>
      </c>
      <c r="B7" s="972"/>
      <c r="C7" s="973"/>
    </row>
    <row r="8" spans="1:3" s="79" customFormat="1" ht="42">
      <c r="A8" s="774" t="s">
        <v>645</v>
      </c>
      <c r="B8" s="775">
        <v>7.0000000000000007E-2</v>
      </c>
      <c r="C8" s="776" t="s">
        <v>650</v>
      </c>
    </row>
    <row r="9" spans="1:3" s="79" customFormat="1" ht="42">
      <c r="A9" s="774" t="s">
        <v>647</v>
      </c>
      <c r="B9" s="775">
        <v>0.05</v>
      </c>
      <c r="C9" s="776" t="s">
        <v>650</v>
      </c>
    </row>
    <row r="10" spans="1:3" s="79" customFormat="1" ht="29.1" customHeight="1">
      <c r="A10" s="777" t="str">
        <f>A6</f>
        <v>CCATD</v>
      </c>
      <c r="B10" s="778">
        <v>0.1</v>
      </c>
      <c r="C10" s="779" t="s">
        <v>650</v>
      </c>
    </row>
    <row r="11" spans="1:3" s="79" customFormat="1" ht="26.45" customHeight="1">
      <c r="A11" s="971" t="s">
        <v>651</v>
      </c>
      <c r="B11" s="972"/>
      <c r="C11" s="973"/>
    </row>
    <row r="12" spans="1:3" s="79" customFormat="1" ht="29.1" customHeight="1">
      <c r="A12" s="774" t="s">
        <v>652</v>
      </c>
      <c r="B12" s="775">
        <v>0.1</v>
      </c>
      <c r="C12" s="776" t="s">
        <v>653</v>
      </c>
    </row>
    <row r="13" spans="1:3" s="79" customFormat="1" ht="30" customHeight="1">
      <c r="A13" s="777" t="str">
        <f>A6</f>
        <v>CCATD</v>
      </c>
      <c r="B13" s="778">
        <v>0</v>
      </c>
      <c r="C13" s="779" t="s">
        <v>654</v>
      </c>
    </row>
    <row r="14" spans="1:3" s="79" customFormat="1" ht="26.45" customHeight="1">
      <c r="A14" s="974" t="s">
        <v>655</v>
      </c>
      <c r="B14" s="975"/>
      <c r="C14" s="976"/>
    </row>
    <row r="15" spans="1:3" s="79" customFormat="1" ht="27.95" customHeight="1">
      <c r="A15" s="774" t="s">
        <v>652</v>
      </c>
      <c r="B15" s="775">
        <v>0.1</v>
      </c>
      <c r="C15" s="776" t="s">
        <v>656</v>
      </c>
    </row>
    <row r="16" spans="1:3" s="79" customFormat="1" ht="27.95" customHeight="1">
      <c r="A16" s="777" t="str">
        <f>A6</f>
        <v>CCATD</v>
      </c>
      <c r="B16" s="778">
        <v>0</v>
      </c>
      <c r="C16" s="779" t="s">
        <v>654</v>
      </c>
    </row>
    <row r="17" spans="1:3" s="79" customFormat="1" ht="26.45" customHeight="1">
      <c r="A17" s="971" t="s">
        <v>657</v>
      </c>
      <c r="B17" s="972"/>
      <c r="C17" s="973"/>
    </row>
    <row r="18" spans="1:3" s="79" customFormat="1" ht="42">
      <c r="A18" s="780" t="s">
        <v>652</v>
      </c>
      <c r="B18" s="775">
        <v>0.2</v>
      </c>
      <c r="C18" s="781" t="s">
        <v>658</v>
      </c>
    </row>
    <row r="19" spans="1:3" s="79" customFormat="1" ht="30.95" customHeight="1">
      <c r="A19" s="777" t="str">
        <f>A6</f>
        <v>CCATD</v>
      </c>
      <c r="B19" s="778">
        <v>0.05</v>
      </c>
      <c r="C19" s="779" t="s">
        <v>659</v>
      </c>
    </row>
    <row r="20" spans="1:3" s="79" customFormat="1" ht="26.45" customHeight="1">
      <c r="A20" s="971" t="s">
        <v>660</v>
      </c>
      <c r="B20" s="972"/>
      <c r="C20" s="973"/>
    </row>
    <row r="21" spans="1:3" s="79" customFormat="1" ht="21">
      <c r="A21" s="780" t="s">
        <v>652</v>
      </c>
      <c r="B21" s="775">
        <v>0.2</v>
      </c>
      <c r="C21" s="776" t="s">
        <v>650</v>
      </c>
    </row>
    <row r="22" spans="1:3" s="79" customFormat="1" ht="27.95" customHeight="1">
      <c r="A22" s="777" t="str">
        <f>A6</f>
        <v>CCATD</v>
      </c>
      <c r="B22" s="778">
        <v>0.05</v>
      </c>
      <c r="C22" s="779" t="s">
        <v>650</v>
      </c>
    </row>
    <row r="23" spans="1:3" s="79" customFormat="1" ht="26.45" customHeight="1">
      <c r="A23" s="971" t="s">
        <v>661</v>
      </c>
      <c r="B23" s="972"/>
      <c r="C23" s="973"/>
    </row>
    <row r="24" spans="1:3" s="79" customFormat="1" ht="21">
      <c r="A24" s="780" t="s">
        <v>652</v>
      </c>
      <c r="B24" s="775">
        <v>0.05</v>
      </c>
      <c r="C24" s="776" t="s">
        <v>653</v>
      </c>
    </row>
    <row r="25" spans="1:3" s="79" customFormat="1" ht="27.95" customHeight="1">
      <c r="A25" s="777" t="str">
        <f>A6</f>
        <v>CCATD</v>
      </c>
      <c r="B25" s="778">
        <v>0.05</v>
      </c>
      <c r="C25" s="782" t="s">
        <v>653</v>
      </c>
    </row>
    <row r="26" spans="1:3" s="79" customFormat="1" ht="26.45" customHeight="1">
      <c r="A26" s="971" t="s">
        <v>662</v>
      </c>
      <c r="B26" s="972"/>
      <c r="C26" s="973"/>
    </row>
    <row r="27" spans="1:3" s="79" customFormat="1" ht="21">
      <c r="A27" s="780" t="s">
        <v>652</v>
      </c>
      <c r="B27" s="775">
        <v>0.05</v>
      </c>
      <c r="C27" s="776" t="s">
        <v>650</v>
      </c>
    </row>
    <row r="28" spans="1:3" s="79" customFormat="1" ht="27.95" customHeight="1" thickBot="1">
      <c r="A28" s="783" t="str">
        <f>A6</f>
        <v>CCATD</v>
      </c>
      <c r="B28" s="784">
        <v>0.05</v>
      </c>
      <c r="C28" s="785" t="s">
        <v>650</v>
      </c>
    </row>
    <row r="30" spans="1:3" ht="61.35" customHeight="1">
      <c r="A30" s="967" t="s">
        <v>663</v>
      </c>
      <c r="B30" s="967"/>
      <c r="C30" s="967"/>
    </row>
    <row r="31" spans="1:3" ht="14.45" customHeight="1">
      <c r="A31" s="968"/>
      <c r="B31" s="968"/>
      <c r="C31" s="968"/>
    </row>
    <row r="32" spans="1:3" ht="31.35" customHeight="1">
      <c r="A32" s="967" t="s">
        <v>664</v>
      </c>
      <c r="B32" s="967"/>
      <c r="C32" s="967"/>
    </row>
    <row r="33" spans="1:3" ht="14.45" customHeight="1">
      <c r="A33" s="968"/>
      <c r="B33" s="968"/>
      <c r="C33" s="968"/>
    </row>
    <row r="34" spans="1:3" ht="30" customHeight="1">
      <c r="A34" s="967" t="s">
        <v>665</v>
      </c>
      <c r="B34" s="967"/>
      <c r="C34" s="967"/>
    </row>
    <row r="35" spans="1:3" ht="14.45" customHeight="1">
      <c r="A35" s="968"/>
      <c r="B35" s="968"/>
      <c r="C35" s="968"/>
    </row>
    <row r="36" spans="1:3" ht="15" customHeight="1">
      <c r="A36" s="969" t="s">
        <v>666</v>
      </c>
      <c r="B36" s="968"/>
      <c r="C36" s="968"/>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6" t="s">
        <v>667</v>
      </c>
    </row>
    <row r="2" spans="1:1">
      <c r="A2" s="576" t="s">
        <v>668</v>
      </c>
    </row>
    <row r="3" spans="1:1">
      <c r="A3" s="576" t="s">
        <v>669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A80541-7138-4A3D-B60A-65E3AF5727EE}">
  <ds:schemaRefs>
    <ds:schemaRef ds:uri="http://schemas.microsoft.com/sharepoint/v3/contenttype/forms"/>
  </ds:schemaRefs>
</ds:datastoreItem>
</file>

<file path=customXml/itemProps3.xml><?xml version="1.0" encoding="utf-8"?>
<ds:datastoreItem xmlns:ds="http://schemas.openxmlformats.org/officeDocument/2006/customXml" ds:itemID="{F4EB99F0-3281-401A-A88B-34022978AF39}">
  <ds:schemaRefs>
    <ds:schemaRef ds:uri="http://purl.org/dc/elements/1.1/"/>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ee822479-6e51-4d14-b6b0-2c589e913e66"/>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128</vt:i4>
      </vt:variant>
    </vt:vector>
  </HeadingPairs>
  <TitlesOfParts>
    <vt:vector size="142"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BEGINNING_FUND_BALANCE___JULY_1__2026</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vt:lpstr>
      <vt:lpstr>COLLEGE_IN_STATE</vt:lpstr>
      <vt:lpstr>COLLEGE_NAME</vt:lpstr>
      <vt:lpstr>CONVERTED_TO_30_CRHR</vt:lpstr>
      <vt:lpstr>CREDIT_HOURS</vt:lpstr>
      <vt:lpstr>CURRENT_EXPENSE_______GLC_600S</vt:lpstr>
      <vt:lpstr>CURRENT_FUNDS___UNRESTRICTED</vt:lpstr>
      <vt:lpstr>CURRENT_FUNDS___UNRESTRICTED_LOWER_AND_UPPER_LEVEL</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2024-04-11T18:49:56Z</cp:lastPrinted>
  <dcterms:created xsi:type="dcterms:W3CDTF">2005-03-22T15:46:43Z</dcterms:created>
  <dcterms:modified xsi:type="dcterms:W3CDTF">2026-08-04T12:45:54Z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ies>
</file>