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Indian River\"/>
    </mc:Choice>
  </mc:AlternateContent>
  <xr:revisionPtr revIDLastSave="0" documentId="13_ncr:1_{4FD89E18-C5FD-42BE-955F-42AD3DFB8625}" xr6:coauthVersionLast="47" xr6:coauthVersionMax="47" xr10:uidLastSave="{00000000-0000-0000-0000-000000000000}"/>
  <workbookProtection workbookAlgorithmName="SHA-512" workbookHashValue="YHdixwZUNekF6IziCbZp/XIL1l5YXwACqqSTjGeTLnRr7iHRYPZj71taMkFxC/2M3LdOV4T8RMVHtYWZHmFlzw==" workbookSaltValue="43NNqiXDMw/QlcgkP1CJg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34" i="6"/>
  <c r="G32" i="7" s="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F48" i="3" l="1"/>
  <c r="G48" i="3" s="1"/>
  <c r="F46" i="3"/>
  <c r="G46"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<sst xmlns="http://schemas.openxmlformats.org/spreadsheetml/2006/main" count="1320" uniqueCount="794">
  <si>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</si>
  <si>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</si>
  <si>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</si>
  <si>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</si>
  <si>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</si>
  <si>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</si>
  <si>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</si>
  <si>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</si>
  <si>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</si>
  <si>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</si>
  <si>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</si>
  <si>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</si>
  <si>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</si>
  <si>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</si>
  <si>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</si>
  <si>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</si>
  <si>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</si>
  <si>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</si>
  <si>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</si>
  <si>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</si>
  <si>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</si>
  <si>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</si>
  <si>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</si>
  <si>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</si>
  <si>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</si>
  <si>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</si>
  <si>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</si>
  <si>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</si>
  <si>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</si>
  <si>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</si>
  <si>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</si>
  <si>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</si>
  <si>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</si>
  <si>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</si>
  <si>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</si>
  <si>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</si>
  <si>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</si>
  <si>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</si>
  <si>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</si>
  <si>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</si>
  <si>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</si>
  <si>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</si>
  <si>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</si>
  <si>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</si>
  <si>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</si>
  <si>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</si>
  <si>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</si>
  <si>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</si>
  <si>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</si>
  <si>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</si>
  <si>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</si>
  <si>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</si>
  <si>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</si>
  <si>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</si>
  <si>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</si>
  <si>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</si>
  <si>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</si>
  <si>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</si>
  <si>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</si>
  <si>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</si>
  <si>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</si>
  <si>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</si>
  <si>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</si>
  <si>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</si>
  <si>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</si>
  <si>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</si>
  <si>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</si>
  <si>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</si>
  <si>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</si>
  <si>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</si>
  <si>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</si>
  <si>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</si>
  <si>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</si>
  <si>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</si>
  <si>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</si>
  <si>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</si>
  <si>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</si>
  <si>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</si>
  <si>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</si>
  <si>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</si>
  <si>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</si>
  <si>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</si>
  <si>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</si>
  <si>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</si>
  <si>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</si>
  <si>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</si>
  <si>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</si>
  <si>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</si>
  <si>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</si>
  <si>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</si>
  <si>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</si>
  <si>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</si>
  <si>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</si>
  <si>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</si>
  <si>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</si>
  <si>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</si>
  <si>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</si>
  <si>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</si>
  <si>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</si>
  <si>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</si>
  <si>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</si>
  <si>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</si>
  <si>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</si>
  <si>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</si>
  <si>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</si>
  <si>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</si>
  <si>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</si>
  <si>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</si>
  <si>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</si>
  <si>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</si>
  <si>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</si>
  <si>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</si>
  <si>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</si>
  <si>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</si>
  <si>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</si>
  <si>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</si>
  <si>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</si>
  <si>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</si>
  <si>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</si>
  <si>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</si>
  <si>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</si>
  <si>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</si>
  <si>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</si>
  <si>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</si>
  <si>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</si>
  <si>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</si>
  <si>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</si>
  <si>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</si>
  <si>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</si>
  <si>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</si>
  <si>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</si>
  <si>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</si>
  <si>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</si>
  <si>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</si>
  <si>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</si>
  <si>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</si>
  <si>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</si>
  <si>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</si>
  <si>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</si>
  <si>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</si>
  <si>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</si>
  <si>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</si>
  <si>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</si>
  <si>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</si>
  <si>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</si>
  <si>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</si>
  <si>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</si>
  <si>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</si>
  <si>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</si>
  <si>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</si>
  <si>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</si>
  <si>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</si>
  <si>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</si>
  <si>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</si>
  <si>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</si>
  <si>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</si>
  <si>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</si>
  <si>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</si>
  <si>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</si>
  <si>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</si>
  <si>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</si>
  <si>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</si>
  <si>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</si>
  <si>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</si>
  <si>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</si>
  <si>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</si>
  <si>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</si>
  <si>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</si>
  <si>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</si>
  <si>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</si>
  <si>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</si>
  <si>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</si>
  <si>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</si>
  <si>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</si>
  <si>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</si>
  <si>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</si>
  <si>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</si>
  <si>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</si>
  <si>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</si>
  <si>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</si>
  <si>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</si>
  <si>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</si>
  <si>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</si>
  <si>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</si>
  <si>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</si>
  <si>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</si>
  <si>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</si>
  <si>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</si>
  <si>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</si>
  <si>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</si>
  <si>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</si>
  <si>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</si>
  <si>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</si>
  <si>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</si>
  <si>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</si>
  <si>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</si>
  <si>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</si>
  <si>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</si>
  <si>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</si>
  <si>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</si>
  <si>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</si>
  <si>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</si>
  <si>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</si>
  <si>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</si>
  <si>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</si>
  <si>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</si>
  <si>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</si>
  <si>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</si>
  <si>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</si>
  <si>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</si>
  <si>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</si>
  <si>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</si>
  <si>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</si>
  <si>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</si>
  <si>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</si>
  <si>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</si>
  <si>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</si>
  <si>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</si>
  <si>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</si>
  <si>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</si>
  <si>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</si>
  <si>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</si>
  <si>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</si>
  <si>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</si>
  <si>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</si>
  <si>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</si>
  <si>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</si>
  <si>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</si>
  <si>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</si>
  <si>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</si>
  <si>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</si>
  <si>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</si>
  <si>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</si>
  <si>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</si>
  <si>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</si>
  <si>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</si>
  <si>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</si>
  <si>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</si>
  <si>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</si>
  <si>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</si>
  <si>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</si>
  <si>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</si>
  <si>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</si>
  <si>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</si>
  <si>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</si>
  <si>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</si>
  <si>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</si>
  <si>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</si>
  <si>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</si>
  <si>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</si>
  <si>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</si>
  <si>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</si>
  <si>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</si>
  <si>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</si>
  <si>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</si>
  <si>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</si>
  <si>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</si>
  <si>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</si>
  <si>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</si>
  <si>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</si>
  <si>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</si>
  <si>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</si>
  <si>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</si>
  <si>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</si>
  <si>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</si>
  <si>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</si>
  <si>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</si>
  <si>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</si>
  <si>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</si>
  <si>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</si>
  <si>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</si>
  <si>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</si>
  <si>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</si>
  <si>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</si>
  <si>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</si>
  <si>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</si>
  <si>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</si>
  <si>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</si>
  <si>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</si>
  <si>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</si>
  <si>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</si>
  <si>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</si>
  <si>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</si>
  <si>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</si>
  <si>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</si>
  <si>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</si>
  <si>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</si>
  <si>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</si>
  <si>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</si>
  <si>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</si>
  <si>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</si>
  <si>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</si>
  <si>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</si>
  <si>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</si>
  <si>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</si>
  <si>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</si>
  <si>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</si>
  <si>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</si>
  <si>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</si>
  <si>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</si>
  <si>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</si>
  <si>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</si>
  <si>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</si>
  <si>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</si>
  <si>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</si>
  <si>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</si>
  <si>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</si>
  <si>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</si>
  <si>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</si>
  <si>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</si>
  <si>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</si>
  <si>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</si>
  <si>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</si>
  <si>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</si>
  <si>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</si>
  <si>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</si>
  <si>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</si>
  <si>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</si>
  <si>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</si>
  <si>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</si>
  <si>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</si>
  <si>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</si>
  <si>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</si>
  <si>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</si>
  <si>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</si>
  <si>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</si>
  <si>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</si>
  <si>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</si>
  <si>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</si>
  <si>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</si>
  <si>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</si>
  <si>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</si>
  <si>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</si>
  <si>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</si>
  <si>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</si>
  <si>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</si>
  <si>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</si>
  <si>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</si>
  <si>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</si>
  <si>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</si>
  <si>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</si>
  <si>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</si>
  <si>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</si>
  <si>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</si>
  <si>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</si>
  <si>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</si>
  <si>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</si>
  <si>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</si>
  <si>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</si>
  <si>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</si>
  <si>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</si>
  <si>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</si>
  <si>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</si>
  <si>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</si>
  <si>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</si>
  <si>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</si>
  <si>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</si>
  <si>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</si>
  <si>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</si>
  <si>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</si>
  <si>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</si>
  <si>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</si>
  <si>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</si>
  <si>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</si>
  <si>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</si>
  <si>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</si>
  <si>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</si>
  <si>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</si>
  <si>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</si>
  <si>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</si>
  <si>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</si>
  <si>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</si>
  <si>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</si>
  <si>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</si>
  <si>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</si>
  <si>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</si>
  <si>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</si>
  <si>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</si>
  <si>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</si>
  <si>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</si>
  <si>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</si>
  <si>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</si>
  <si>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</si>
  <si>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</si>
  <si>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</si>
  <si>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</si>
  <si>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</si>
  <si>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</si>
  <si>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</si>
  <si>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</si>
  <si>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</si>
  <si>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</si>
  <si>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</si>
  <si>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</si>
  <si>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</si>
  <si>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</si>
  <si>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</si>
  <si>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</si>
  <si>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</si>
  <si>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</si>
  <si>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</si>
  <si>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</si>
  <si>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</si>
  <si>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</si>
  <si>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</si>
  <si>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</si>
  <si>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</si>
  <si>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</si>
  <si>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</si>
  <si>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</si>
  <si>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</si>
  <si>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</si>
  <si>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</si>
  <si>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</si>
  <si>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</si>
  <si>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</si>
  <si>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</si>
  <si>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</si>
  <si>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</si>
  <si>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</si>
  <si>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</si>
  <si>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</si>
  <si>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</si>
  <si>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</si>
  <si>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</si>
  <si>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</si>
  <si>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</si>
  <si>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</si>
  <si>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</si>
  <si>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</si>
  <si>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</si>
  <si>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</si>
  <si>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</si>
  <si>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</si>
  <si>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</si>
  <si>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</si>
  <si>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</si>
  <si>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</si>
  <si>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</si>
  <si>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</si>
  <si>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</si>
  <si>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</si>
  <si>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</si>
  <si>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</si>
  <si>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</si>
  <si>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</si>
  <si>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</si>
  <si>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</si>
  <si>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</si>
  <si>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</si>
  <si>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</si>
  <si>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</si>
  <si>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</si>
  <si>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</si>
  <si>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</si>
  <si>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</si>
  <si>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</si>
  <si>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</si>
  <si>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</si>
  <si>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</si>
  <si>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</si>
  <si>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</si>
  <si>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</si>
  <si>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</si>
  <si>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</si>
  <si>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</si>
  <si>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</si>
  <si>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</si>
  <si>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</si>
  <si>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</si>
  <si>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</si>
  <si>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</si>
  <si>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</si>
  <si>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</si>
  <si>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</si>
  <si>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</si>
  <si>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</si>
  <si>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</si>
  <si>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</si>
  <si>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</si>
  <si>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</si>
  <si>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</si>
  <si>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</si>
  <si>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</si>
  <si>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</si>
  <si>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</si>
  <si>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</si>
  <si>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</si>
  <si>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</si>
  <si>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</si>
  <si>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</si>
  <si>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</si>
  <si>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</si>
  <si>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</si>
  <si>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</si>
  <si>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</si>
  <si>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</si>
  <si>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</si>
  <si>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</si>
  <si>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</si>
  <si>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</si>
  <si>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</si>
  <si>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</si>
  <si>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</si>
  <si>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</si>
  <si>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</si>
  <si>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</si>
  <si>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</si>
  <si>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</si>
  <si>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</si>
  <si>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</si>
  <si>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</si>
  <si>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</si>
  <si>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</si>
  <si>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</si>
  <si>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</si>
  <si>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</si>
  <si>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</si>
  <si>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</si>
  <si>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</si>
  <si>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</si>
  <si>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</si>
  <si>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</si>
  <si>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</si>
  <si>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</si>
  <si>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</si>
  <si>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</si>
  <si>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</si>
  <si>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</si>
  <si>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</si>
  <si>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</si>
  <si>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</si>
  <si>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</si>
  <si>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</si>
  <si>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</si>
  <si>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</si>
  <si>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</si>
  <si>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</si>
  <si>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</si>
  <si>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</si>
  <si>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</si>
  <si>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</si>
  <si>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</si>
  <si>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</si>
  <si>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</si>
  <si>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</si>
  <si>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</si>
  <si>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</si>
  <si>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</si>
  <si>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</si>
  <si>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</si>
  <si>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</si>
  <si>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</si>
  <si>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</si>
  <si>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</si>
  <si>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</si>
  <si>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</si>
  <si>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</si>
  <si>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</si>
  <si>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</si>
  <si>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</si>
  <si>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</si>
  <si>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</si>
  <si>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</si>
  <si>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</si>
  <si>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</si>
  <si>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</si>
  <si>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</si>
  <si>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</si>
  <si>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</si>
  <si>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</si>
  <si>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</si>
  <si>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</si>
  <si>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</si>
  <si>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</si>
  <si>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</si>
  <si>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</si>
  <si>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</si>
  <si>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</si>
  <si>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</si>
  <si>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</si>
  <si>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</si>
  <si>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</si>
  <si>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</si>
  <si>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</si>
  <si>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</si>
  <si>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</si>
  <si>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</si>
  <si>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</si>
  <si>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</si>
  <si>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</si>
  <si>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</si>
  <si>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</si>
  <si>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</si>
  <si>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</si>
  <si>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</si>
  <si>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</si>
  <si>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</si>
  <si>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</si>
  <si>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</si>
  <si>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</si>
  <si>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</si>
  <si>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</si>
  <si>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</si>
  <si>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</si>
  <si>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</si>
  <si>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</si>
  <si>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</si>
  <si>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</si>
  <si>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</si>
  <si>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</si>
  <si>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</si>
  <si>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</si>
  <si>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</si>
  <si>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</si>
  <si>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</si>
  <si>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</si>
  <si>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</si>
  <si>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</si>
  <si>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</si>
  <si>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</si>
  <si>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</si>
  <si>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</si>
  <si>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</si>
  <si>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</si>
  <si>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</si>
  <si>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</si>
  <si>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</si>
  <si>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</si>
  <si>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</si>
  <si>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</si>
  <si>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</si>
  <si>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</si>
  <si>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</si>
  <si>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</si>
  <si>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</si>
  <si>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</si>
  <si>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</si>
  <si>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</si>
  <si>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</si>
  <si>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</si>
  <si>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</si>
  <si>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</si>
  <si>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</si>
  <si>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</si>
  <si>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</si>
  <si>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</si>
  <si>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</si>
  <si>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</si>
  <si>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</si>
  <si>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</si>
  <si>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</si>
  <si>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</si>
  <si>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</si>
  <si>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</si>
  <si>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</si>
  <si>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</si>
  <si>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</si>
  <si>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</si>
  <si>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</si>
  <si>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</si>
  <si>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</si>
  <si>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</si>
  <si>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</si>
  <si>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</si>
  <si>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</si>
  <si>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</si>
  <si>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</si>
  <si>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</si>
  <si>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</si>
  <si>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</si>
  <si>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</si>
  <si>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</si>
  <si>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</si>
  <si>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</si>
  <si>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</si>
  <si>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</si>
  <si>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</si>
  <si>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</si>
  <si>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</si>
  <si>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</si>
  <si>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</si>
  <si>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</si>
  <si>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</si>
  <si>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</si>
  <si>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</si>
  <si>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</si>
  <si>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</si>
  <si>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</si>
  <si>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</si>
  <si>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</si>
  <si>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</si>
  <si>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</si>
  <si>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</si>
  <si>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</si>
  <si>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</si>
  <si>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</si>
  <si>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</si>
  <si>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</si>
  <si>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</si>
  <si>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</si>
  <si>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</si>
  <si>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</si>
  <si>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</si>
  <si>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</si>
  <si>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</si>
  <si>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</si>
  <si>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</si>
  <si>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</si>
  <si>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</si>
  <si>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</si>
  <si>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</si>
  <si>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</si>
  <si>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</si>
  <si>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</si>
  <si>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</si>
  <si>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</si>
  <si>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</si>
  <si>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</si>
  <si>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</si>
  <si>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</si>
  <si>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</si>
  <si>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</si>
  <si>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</si>
  <si>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</si>
  <si>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</si>
  <si>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</si>
  <si>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</si>
  <si>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</si>
  <si>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</si>
  <si>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</si>
  <si>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</si>
  <si>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</si>
  <si>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</si>
  <si>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</si>
  <si>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</si>
  <si>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</si>
  <si>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</si>
  <si>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</si>
  <si>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</si>
  <si>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</si>
  <si>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</si>
  <si>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</si>
  <si>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</si>
  <si>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</si>
  <si>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</si>
  <si>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</si>
  <si>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</si>
  <si>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</si>
  <si>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</si>
  <si>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</si>
  <si>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</si>
  <si>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</si>
  <si>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</si>
  <si>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</si>
  <si>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</si>
  <si>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</si>
  <si>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</si>
  <si>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</si>
  <si>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</si>
  <si>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</si>
  <si>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</si>
  <si>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</si>
  <si>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</si>
  <si>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</si>
  <si>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</si>
  <si>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</si>
  <si>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</si>
  <si>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</si>
  <si>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</si>
  <si>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</si>
  <si>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</si>
  <si>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</si>
  <si>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</si>
  <si>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</si>
  <si>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</si>
  <si>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</si>
  <si>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</si>
  <si>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</si>
  <si>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</si>
  <si>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</si>
  <si>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</si>
  <si>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</si>
  <si>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</si>
  <si>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</si>
  <si>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</si>
  <si>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</si>
  <si>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</si>
  <si>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</si>
  <si>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</si>
  <si>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Grant Matching</t>
  </si>
  <si>
    <t>Honeywell - Engery Savings Loan</t>
  </si>
  <si>
    <t>Auxiliary - Promotion &amp; Public Relations</t>
  </si>
  <si>
    <t>The college's projections are based on the enrollment pattern.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</si>
</sst>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5">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8"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09"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0" xfId="0" applyFont="1" applyBorder="1"/>
    <xf numFmtId="0" fontId="100" fillId="0" borderId="310" xfId="0" applyFont="1" applyBorder="1" applyAlignment="1">
      <alignment horizontal="left" wrapText="1"/>
    </xf>
    <xf numFmtId="3" fontId="100" fillId="0" borderId="310" xfId="0" applyNumberFormat="1" applyFont="1" applyBorder="1" applyAlignment="1">
      <alignment horizontal="right" wrapText="1"/>
    </xf>
    <xf numFmtId="3" fontId="100" fillId="36" borderId="310" xfId="0" applyNumberFormat="1" applyFont="1" applyFill="1" applyBorder="1" applyAlignment="1">
      <alignment horizontal="right" wrapText="1"/>
    </xf>
    <xf numFmtId="0" fontId="68" fillId="78" borderId="311" xfId="0" applyFont="1" applyFill="1" applyBorder="1" applyAlignment="1">
      <alignment wrapText="1"/>
    </xf>
    <xf numFmtId="0" fontId="68" fillId="32" borderId="310" xfId="495" applyFont="1" applyFill="1" applyBorder="1" applyAlignment="1">
      <alignment horizontal="center" wrapText="1"/>
    </xf>
    <xf numFmtId="3" fontId="68" fillId="32" borderId="310" xfId="181" applyNumberFormat="1" applyFont="1" applyFill="1" applyBorder="1"/>
    <xf numFmtId="3" fontId="68" fillId="36" borderId="310"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0"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8" xfId="0" applyFont="1" applyBorder="1"/>
    <xf numFmtId="2" fontId="154" fillId="32" borderId="29" xfId="0" applyNumberFormat="1" applyFont="1" applyFill="1" applyBorder="1" applyProtection="1">
      <protection locked="0"/>
    </xf>
    <xf numFmtId="2" fontId="70" fillId="71" borderId="310" xfId="0" applyNumberFormat="1" applyFont="1" applyFill="1" applyBorder="1"/>
    <xf numFmtId="2" fontId="154" fillId="32" borderId="308"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2"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3" xfId="0" applyFont="1" applyFill="1" applyBorder="1" applyAlignment="1">
      <alignment wrapText="1"/>
    </xf>
    <xf numFmtId="0" fontId="68" fillId="32" borderId="314" xfId="495" applyFont="1" applyFill="1" applyBorder="1" applyAlignment="1">
      <alignment horizontal="center" wrapText="1"/>
    </xf>
    <xf numFmtId="3" fontId="68" fillId="32" borderId="314" xfId="181" applyNumberFormat="1" applyFont="1" applyFill="1" applyBorder="1"/>
    <xf numFmtId="3" fontId="68" fillId="36" borderId="314" xfId="0" applyNumberFormat="1" applyFont="1" applyFill="1" applyBorder="1" applyAlignment="1">
      <alignment horizontal="right"/>
    </xf>
    <xf numFmtId="0" fontId="145" fillId="32" borderId="312" xfId="0" applyFont="1" applyFill="1" applyBorder="1" applyAlignment="1">
      <alignment wrapText="1"/>
    </xf>
    <xf numFmtId="0" fontId="145" fillId="32" borderId="314" xfId="49352" applyNumberFormat="1" applyFont="1" applyFill="1" applyBorder="1" applyAlignment="1">
      <alignment horizontal="center" wrapText="1"/>
    </xf>
    <xf numFmtId="0" fontId="145" fillId="32" borderId="314"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722</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4" t="s">
        <v>10</v>
      </c>
      <c r="B7" s="1125"/>
      <c r="C7" s="1126" t="s">
        <v>10</v>
      </c>
      <c r="D7" s="1124" t="s">
        <v>10</v>
      </c>
      <c r="E7" s="1128" t="s">
        <v>10</v>
      </c>
    </row>
    <row r="8" spans="1:5" s="3" customFormat="1" ht="20.100000000000001" customHeight="1">
      <c r="A8" s="1124"/>
      <c r="B8" s="1125"/>
      <c r="C8" s="1126"/>
      <c r="D8" s="1124"/>
      <c r="E8" s="1128"/>
    </row>
    <row r="9" spans="1:5" s="3" customFormat="1" ht="20.100000000000001" customHeight="1">
      <c r="A9" s="1127"/>
      <c r="B9" s="1129"/>
      <c r="C9" s="1126"/>
      <c r="D9" s="1134"/>
      <c r="E9" s="1128"/>
    </row>
    <row r="10" spans="1:5" s="3" customFormat="1" ht="20.100000000000001" customHeight="1">
      <c r="A10" s="1130" t="s">
        <v>9</v>
      </c>
      <c r="B10" s="1131"/>
      <c r="C10" s="1132" t="s">
        <v>10</v>
      </c>
      <c r="D10" s="1132"/>
      <c r="E10" s="1132" t="s">
        <v>10</v>
      </c>
    </row>
    <row r="11" spans="1:5" s="3" customFormat="1" ht="20.100000000000001" customHeight="1">
      <c r="A11" s="1130"/>
      <c r="B11" s="1131"/>
      <c r="C11" s="1131"/>
      <c r="D11" s="1132"/>
      <c r="E11" s="1131"/>
    </row>
    <row r="12" spans="1:5" ht="20.100000000000001" customHeight="1">
      <c r="A12" s="1131"/>
      <c r="B12" s="1131"/>
      <c r="C12" s="1131"/>
      <c r="D12" s="1132"/>
      <c r="E12" s="1131"/>
    </row>
    <row r="13" spans="1:5" ht="20.100000000000001" customHeight="1">
      <c r="A13" s="1133" t="s">
        <v>10</v>
      </c>
      <c r="B13" s="1131"/>
      <c r="C13" s="1131"/>
      <c r="D13" s="1132"/>
      <c r="E13" s="1131"/>
    </row>
    <row r="14" spans="1:5" ht="20.100000000000001" customHeight="1">
      <c r="A14" s="1133"/>
      <c r="B14" s="1131"/>
      <c r="C14" s="1131"/>
      <c r="D14" s="1135"/>
      <c r="E14" s="1131"/>
    </row>
    <row r="15" spans="1:5" ht="20.100000000000001" customHeight="1">
      <c r="A15" s="1133"/>
      <c r="B15" s="1131"/>
      <c r="C15" s="1131"/>
      <c r="D15" s="1135"/>
      <c r="E15" s="1131"/>
    </row>
    <row r="16" spans="1:5" ht="20.100000000000001" customHeight="1">
      <c r="A16" s="1133"/>
      <c r="B16" s="1131"/>
      <c r="C16" s="1131"/>
      <c r="D16" s="1135"/>
      <c r="E16" s="1131"/>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730</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789</v>
      </c>
      <c r="C3" s="58"/>
      <c r="D3" s="67"/>
      <c r="E3" s="66"/>
    </row>
    <row r="4" spans="1:10" ht="25.35" customHeight="1" thickBot="1">
      <c r="A4" s="56">
        <v>1</v>
      </c>
      <c r="B4" s="46">
        <v>2</v>
      </c>
      <c r="C4" s="46">
        <v>3</v>
      </c>
      <c r="D4" s="46">
        <v>4</v>
      </c>
      <c r="E4" s="13"/>
    </row>
    <row r="5" spans="1:10" ht="44.1" customHeight="1" thickBot="1">
      <c r="A5" s="32" t="s">
        <v>16</v>
      </c>
      <c r="B5" s="1027" t="s">
        <v>757</v>
      </c>
      <c r="C5" s="1028"/>
      <c r="D5" s="1029"/>
      <c r="E5" s="563" t="s">
        <v>10</v>
      </c>
      <c r="F5" s="13"/>
    </row>
    <row r="6" spans="1:10" ht="89.1" customHeight="1" thickBot="1">
      <c r="A6" s="280" t="s">
        <v>17</v>
      </c>
      <c r="B6" s="55" t="s">
        <v>765</v>
      </c>
      <c r="C6" s="17" t="s">
        <v>18</v>
      </c>
      <c r="D6" s="70" t="s">
        <v>19</v>
      </c>
      <c r="F6" s="13"/>
    </row>
    <row r="7" spans="1:10" ht="25.35" customHeight="1">
      <c r="A7" s="397" t="s">
        <v>20</v>
      </c>
      <c r="B7" s="906">
        <v>46135825</v>
      </c>
      <c r="C7" s="1104">
        <v>8965209</v>
      </c>
      <c r="D7" s="75">
        <f t="shared" ref="D7:D34" si="0">SUM(B7:C7)</f>
        <v>55101034</v>
      </c>
      <c r="E7" s="421"/>
      <c r="F7" s="422"/>
      <c r="G7" s="42"/>
      <c r="I7" s="42"/>
      <c r="J7" s="42"/>
    </row>
    <row r="8" spans="1:10" ht="25.35" customHeight="1">
      <c r="A8" s="377" t="s">
        <v>21</v>
      </c>
      <c r="B8" s="1081">
        <v>98690418</v>
      </c>
      <c r="C8" s="1104">
        <v>17967796</v>
      </c>
      <c r="D8" s="68">
        <f t="shared" si="0"/>
        <v>116658214</v>
      </c>
      <c r="E8" s="399"/>
      <c r="F8" s="42"/>
      <c r="G8" s="42"/>
      <c r="I8" s="42"/>
      <c r="J8" s="42"/>
    </row>
    <row r="9" spans="1:10" ht="25.35" customHeight="1">
      <c r="A9" s="377" t="s">
        <v>22</v>
      </c>
      <c r="B9" s="907">
        <v>36635655</v>
      </c>
      <c r="C9" s="1104">
        <v>5132576</v>
      </c>
      <c r="D9" s="68">
        <f t="shared" si="0"/>
        <v>41768231</v>
      </c>
      <c r="E9" s="399"/>
      <c r="F9" s="42"/>
      <c r="G9" s="42"/>
      <c r="I9" s="42"/>
      <c r="J9" s="42"/>
    </row>
    <row r="10" spans="1:10" ht="25.35" customHeight="1">
      <c r="A10" s="377" t="s">
        <v>23</v>
      </c>
      <c r="B10" s="907">
        <v>13538708</v>
      </c>
      <c r="C10" s="1104">
        <v>2823123</v>
      </c>
      <c r="D10" s="68">
        <f t="shared" si="0"/>
        <v>16361831</v>
      </c>
      <c r="E10" s="399"/>
      <c r="F10" s="42"/>
      <c r="G10" s="42"/>
      <c r="I10" s="42"/>
      <c r="J10" s="42"/>
    </row>
    <row r="11" spans="1:10" ht="25.35" customHeight="1">
      <c r="A11" s="377" t="s">
        <v>24</v>
      </c>
      <c r="B11" s="907">
        <v>51701935</v>
      </c>
      <c r="C11" s="1104">
        <v>10787451</v>
      </c>
      <c r="D11" s="68">
        <f t="shared" si="0"/>
        <v>62489386</v>
      </c>
      <c r="E11" s="399"/>
      <c r="F11" s="42"/>
      <c r="G11" s="42"/>
      <c r="I11" s="42"/>
      <c r="J11" s="42"/>
    </row>
    <row r="12" spans="1:10" ht="25.35" customHeight="1">
      <c r="A12" s="377" t="s">
        <v>25</v>
      </c>
      <c r="B12" s="907">
        <v>46933805</v>
      </c>
      <c r="C12" s="1104">
        <v>6873089</v>
      </c>
      <c r="D12" s="68">
        <f t="shared" si="0"/>
        <v>53806894</v>
      </c>
      <c r="E12" s="399"/>
      <c r="F12" s="42"/>
      <c r="G12" s="42"/>
      <c r="I12" s="42"/>
      <c r="J12" s="42"/>
    </row>
    <row r="13" spans="1:10" ht="25.35" customHeight="1">
      <c r="A13" s="377" t="s">
        <v>26</v>
      </c>
      <c r="B13" s="907">
        <v>76188848</v>
      </c>
      <c r="C13" s="1104">
        <v>16150515</v>
      </c>
      <c r="D13" s="68">
        <f t="shared" si="0"/>
        <v>92339363</v>
      </c>
      <c r="E13" s="399"/>
      <c r="F13" s="42"/>
      <c r="G13" s="42"/>
      <c r="I13" s="42"/>
      <c r="J13" s="42"/>
    </row>
    <row r="14" spans="1:10" ht="25.35" customHeight="1">
      <c r="A14" s="377" t="s">
        <v>27</v>
      </c>
      <c r="B14" s="907">
        <v>10190230</v>
      </c>
      <c r="C14" s="1104">
        <v>1455245</v>
      </c>
      <c r="D14" s="68">
        <f t="shared" si="0"/>
        <v>11645475</v>
      </c>
      <c r="E14" s="399"/>
      <c r="F14" s="42"/>
      <c r="G14" s="42"/>
      <c r="I14" s="42"/>
      <c r="J14" s="42"/>
    </row>
    <row r="15" spans="1:10" ht="25.35" customHeight="1">
      <c r="A15" s="377" t="s">
        <v>28</v>
      </c>
      <c r="B15" s="907">
        <v>23425463</v>
      </c>
      <c r="C15" s="1104">
        <v>4601687</v>
      </c>
      <c r="D15" s="68">
        <f t="shared" si="0"/>
        <v>28027150</v>
      </c>
      <c r="E15" s="399"/>
      <c r="F15" s="42"/>
      <c r="G15" s="42"/>
      <c r="I15" s="42"/>
      <c r="J15" s="42"/>
    </row>
    <row r="16" spans="1:10" ht="25.35" customHeight="1">
      <c r="A16" s="377" t="s">
        <v>751</v>
      </c>
      <c r="B16" s="907">
        <v>78745180</v>
      </c>
      <c r="C16" s="1104">
        <v>12203027</v>
      </c>
      <c r="D16" s="68">
        <f t="shared" si="0"/>
        <v>90948207</v>
      </c>
      <c r="E16" s="399"/>
      <c r="F16" s="42"/>
      <c r="G16" s="42"/>
      <c r="I16" s="42"/>
      <c r="J16" s="42"/>
    </row>
    <row r="17" spans="1:10" ht="25.35" customHeight="1">
      <c r="A17" s="377" t="s">
        <v>29</v>
      </c>
      <c r="B17" s="907">
        <v>52058669</v>
      </c>
      <c r="C17" s="1104">
        <v>9889375</v>
      </c>
      <c r="D17" s="68">
        <f t="shared" si="0"/>
        <v>61948044</v>
      </c>
      <c r="E17" s="399"/>
      <c r="F17" s="42"/>
      <c r="G17" s="42"/>
      <c r="I17" s="42"/>
      <c r="J17" s="42"/>
    </row>
    <row r="18" spans="1:10" ht="25.35" customHeight="1">
      <c r="A18" s="377" t="s">
        <v>30</v>
      </c>
      <c r="B18" s="907">
        <v>17400443</v>
      </c>
      <c r="C18" s="1104">
        <v>2879216</v>
      </c>
      <c r="D18" s="68">
        <f t="shared" si="0"/>
        <v>20279659</v>
      </c>
      <c r="E18" s="399"/>
      <c r="F18" s="42"/>
      <c r="G18" s="42"/>
      <c r="I18" s="42"/>
      <c r="J18" s="42"/>
    </row>
    <row r="19" spans="1:10" ht="25.35" customHeight="1">
      <c r="A19" s="377" t="s">
        <v>31</v>
      </c>
      <c r="B19" s="907">
        <v>22308723</v>
      </c>
      <c r="C19" s="1104">
        <v>2829107</v>
      </c>
      <c r="D19" s="68">
        <f t="shared" si="0"/>
        <v>25137830</v>
      </c>
      <c r="E19" s="399"/>
      <c r="F19" s="42"/>
      <c r="G19" s="42"/>
      <c r="I19" s="42"/>
      <c r="J19" s="42"/>
    </row>
    <row r="20" spans="1:10" ht="25.35" customHeight="1">
      <c r="A20" s="377" t="s">
        <v>32</v>
      </c>
      <c r="B20" s="907">
        <v>31804903</v>
      </c>
      <c r="C20" s="1104">
        <v>4767012</v>
      </c>
      <c r="D20" s="68">
        <f t="shared" si="0"/>
        <v>36571915</v>
      </c>
      <c r="E20" s="399"/>
      <c r="F20" s="42"/>
      <c r="G20" s="42"/>
      <c r="H20" s="42"/>
      <c r="I20" s="42"/>
      <c r="J20" s="42"/>
    </row>
    <row r="21" spans="1:10" ht="25.35" customHeight="1">
      <c r="A21" s="377" t="s">
        <v>33</v>
      </c>
      <c r="B21" s="907">
        <v>202832113</v>
      </c>
      <c r="C21" s="1104">
        <v>36438801</v>
      </c>
      <c r="D21" s="68">
        <f t="shared" si="0"/>
        <v>239270914</v>
      </c>
      <c r="E21" s="399"/>
      <c r="F21" s="42"/>
      <c r="G21" s="42"/>
      <c r="I21" s="42"/>
      <c r="J21" s="42"/>
    </row>
    <row r="22" spans="1:10" ht="25.35" customHeight="1">
      <c r="A22" s="377" t="s">
        <v>34</v>
      </c>
      <c r="B22" s="907">
        <v>10454571</v>
      </c>
      <c r="C22" s="1104">
        <v>1533902</v>
      </c>
      <c r="D22" s="68">
        <f t="shared" si="0"/>
        <v>11988473</v>
      </c>
      <c r="E22" s="399"/>
      <c r="F22" s="42"/>
      <c r="G22" s="42"/>
      <c r="I22" s="42"/>
      <c r="J22" s="42"/>
    </row>
    <row r="23" spans="1:10" ht="25.35" customHeight="1">
      <c r="A23" s="377" t="s">
        <v>35</v>
      </c>
      <c r="B23" s="907">
        <v>26088800</v>
      </c>
      <c r="C23" s="1104">
        <v>4053149</v>
      </c>
      <c r="D23" s="68">
        <f t="shared" si="0"/>
        <v>30141949</v>
      </c>
      <c r="E23" s="399"/>
      <c r="F23" s="42"/>
      <c r="G23" s="42"/>
      <c r="I23" s="42"/>
      <c r="J23" s="42"/>
    </row>
    <row r="24" spans="1:10" ht="25.35" customHeight="1">
      <c r="A24" s="377" t="s">
        <v>36</v>
      </c>
      <c r="B24" s="907">
        <v>72521516</v>
      </c>
      <c r="C24" s="1104">
        <v>12221593</v>
      </c>
      <c r="D24" s="68">
        <f t="shared" si="0"/>
        <v>84743109</v>
      </c>
      <c r="E24" s="399"/>
      <c r="F24" s="42"/>
      <c r="G24" s="42"/>
      <c r="I24" s="42"/>
      <c r="J24" s="42"/>
    </row>
    <row r="25" spans="1:10" ht="25.35" customHeight="1">
      <c r="A25" s="377" t="s">
        <v>37</v>
      </c>
      <c r="B25" s="907">
        <v>45643999</v>
      </c>
      <c r="C25" s="1104">
        <v>5900984</v>
      </c>
      <c r="D25" s="68">
        <f t="shared" si="0"/>
        <v>51544983</v>
      </c>
      <c r="E25" s="399"/>
      <c r="F25" s="42"/>
      <c r="G25" s="42"/>
      <c r="I25" s="42"/>
      <c r="J25" s="42"/>
    </row>
    <row r="26" spans="1:10" ht="25.35" customHeight="1">
      <c r="A26" s="377" t="s">
        <v>38</v>
      </c>
      <c r="B26" s="907">
        <v>56025336</v>
      </c>
      <c r="C26" s="1104">
        <v>7318283</v>
      </c>
      <c r="D26" s="68">
        <f t="shared" si="0"/>
        <v>63343619</v>
      </c>
      <c r="E26" s="399"/>
      <c r="F26" s="42"/>
      <c r="G26" s="42"/>
      <c r="I26" s="42"/>
      <c r="J26" s="42"/>
    </row>
    <row r="27" spans="1:10" ht="25.35" customHeight="1">
      <c r="A27" s="377" t="s">
        <v>39</v>
      </c>
      <c r="B27" s="907">
        <v>45068196</v>
      </c>
      <c r="C27" s="1104">
        <v>5998631</v>
      </c>
      <c r="D27" s="68">
        <f t="shared" si="0"/>
        <v>51066827</v>
      </c>
      <c r="E27" s="399"/>
      <c r="F27" s="42"/>
      <c r="G27" s="42"/>
      <c r="I27" s="42"/>
      <c r="J27" s="42"/>
    </row>
    <row r="28" spans="1:10" ht="25.35" customHeight="1">
      <c r="A28" s="377" t="s">
        <v>40</v>
      </c>
      <c r="B28" s="907">
        <v>32205772</v>
      </c>
      <c r="C28" s="1104">
        <v>4092028</v>
      </c>
      <c r="D28" s="68">
        <f t="shared" si="0"/>
        <v>36297800</v>
      </c>
      <c r="E28" s="399"/>
      <c r="F28" s="42"/>
      <c r="G28" s="42"/>
      <c r="I28" s="42"/>
      <c r="J28" s="42"/>
    </row>
    <row r="29" spans="1:10" ht="25.35" customHeight="1">
      <c r="A29" s="377" t="s">
        <v>41</v>
      </c>
      <c r="B29" s="907">
        <v>81244931</v>
      </c>
      <c r="C29" s="1104">
        <v>14666330</v>
      </c>
      <c r="D29" s="68">
        <f t="shared" si="0"/>
        <v>95911261</v>
      </c>
      <c r="E29" s="399"/>
      <c r="F29" s="42"/>
      <c r="G29" s="42"/>
      <c r="I29" s="42"/>
      <c r="J29" s="42"/>
    </row>
    <row r="30" spans="1:10" ht="25.35" customHeight="1">
      <c r="A30" s="377" t="s">
        <v>42</v>
      </c>
      <c r="B30" s="907">
        <v>48685389</v>
      </c>
      <c r="C30" s="1104">
        <v>7445833</v>
      </c>
      <c r="D30" s="68">
        <f t="shared" si="0"/>
        <v>56131222</v>
      </c>
      <c r="E30" s="399"/>
      <c r="F30" s="42"/>
      <c r="G30" s="42"/>
      <c r="I30" s="42"/>
      <c r="J30" s="42"/>
    </row>
    <row r="31" spans="1:10" ht="25.35" customHeight="1">
      <c r="A31" s="377" t="s">
        <v>43</v>
      </c>
      <c r="B31" s="907">
        <v>50687169</v>
      </c>
      <c r="C31" s="1104">
        <v>8021591</v>
      </c>
      <c r="D31" s="68">
        <f t="shared" si="0"/>
        <v>58708760</v>
      </c>
      <c r="E31" s="399"/>
      <c r="F31" s="42"/>
      <c r="G31" s="42"/>
      <c r="I31" s="42"/>
      <c r="J31" s="42"/>
    </row>
    <row r="32" spans="1:10" ht="25.35" customHeight="1">
      <c r="A32" s="377" t="s">
        <v>44</v>
      </c>
      <c r="B32" s="907">
        <v>23017517</v>
      </c>
      <c r="C32" s="1104">
        <v>3443580</v>
      </c>
      <c r="D32" s="68">
        <f t="shared" si="0"/>
        <v>26461097</v>
      </c>
      <c r="E32" s="399"/>
      <c r="F32" s="42"/>
      <c r="G32" s="42"/>
      <c r="I32" s="42" t="s">
        <v>45</v>
      </c>
      <c r="J32" s="42"/>
    </row>
    <row r="33" spans="1:12" ht="25.35" customHeight="1">
      <c r="A33" s="377" t="s">
        <v>699</v>
      </c>
      <c r="B33" s="907">
        <v>39674794</v>
      </c>
      <c r="C33" s="1104">
        <v>6698176</v>
      </c>
      <c r="D33" s="68">
        <f t="shared" si="0"/>
        <v>46372970</v>
      </c>
      <c r="E33" s="399"/>
      <c r="F33" s="42"/>
      <c r="G33" s="42"/>
      <c r="I33" s="399"/>
      <c r="J33" s="42"/>
      <c r="K33" s="399"/>
    </row>
    <row r="34" spans="1:12" ht="25.35" customHeight="1" thickBot="1">
      <c r="A34" s="378" t="s">
        <v>46</v>
      </c>
      <c r="B34" s="907">
        <v>130572783</v>
      </c>
      <c r="C34" s="1104">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4" t="s">
        <v>48</v>
      </c>
      <c r="B36" s="1030"/>
      <c r="C36" s="1030"/>
      <c r="D36" s="1030"/>
      <c r="E36" s="462"/>
      <c r="K36" s="399"/>
    </row>
    <row r="37" spans="1:12" ht="27.75" customHeight="1">
      <c r="A37" s="1163" t="s">
        <v>766</v>
      </c>
      <c r="B37" s="821"/>
      <c r="C37" s="821"/>
      <c r="D37" s="821"/>
      <c r="E37" s="461"/>
      <c r="K37" s="399"/>
    </row>
    <row r="38" spans="1:12" s="1161" customFormat="1" ht="29.25" customHeight="1">
      <c r="A38" s="1165" t="s">
        <v>767</v>
      </c>
      <c r="B38" s="1031"/>
      <c r="C38" s="1031"/>
      <c r="D38" s="1031"/>
      <c r="E38" s="1160"/>
      <c r="K38" s="1162"/>
    </row>
    <row r="39" spans="1:12" ht="36.6" hidden="1" customHeight="1" thickBot="1">
      <c r="A39" s="456" t="s">
        <v>15</v>
      </c>
      <c r="B39" s="457"/>
      <c r="C39" s="457"/>
      <c r="K39" s="163"/>
    </row>
    <row r="40" spans="1:12" ht="24" hidden="1" customHeight="1" thickBot="1">
      <c r="A40" s="38" t="s">
        <v>759</v>
      </c>
      <c r="B40" s="1166" t="s">
        <v>787</v>
      </c>
      <c r="C40" s="1167"/>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768</v>
      </c>
      <c r="C43" s="596"/>
      <c r="D43" s="596"/>
      <c r="E43" s="597">
        <f t="shared" ref="E43:E60" si="1">C43+D43</f>
        <v>0</v>
      </c>
    </row>
    <row r="44" spans="1:12" ht="63" hidden="1">
      <c r="A44" s="910" t="s">
        <v>22</v>
      </c>
      <c r="B44" s="598" t="s">
        <v>769</v>
      </c>
      <c r="C44" s="596"/>
      <c r="D44" s="596"/>
      <c r="E44" s="597">
        <f t="shared" si="1"/>
        <v>0</v>
      </c>
    </row>
    <row r="45" spans="1:12" ht="47.25" hidden="1" customHeight="1">
      <c r="A45" s="908" t="s">
        <v>24</v>
      </c>
      <c r="B45" s="598" t="s">
        <v>784</v>
      </c>
      <c r="C45" s="596"/>
      <c r="D45" s="596"/>
      <c r="E45" s="597">
        <f t="shared" si="1"/>
        <v>0</v>
      </c>
    </row>
    <row r="46" spans="1:12" ht="84.75" hidden="1" customHeight="1">
      <c r="A46" s="908" t="s">
        <v>24</v>
      </c>
      <c r="B46" s="983" t="s">
        <v>770</v>
      </c>
      <c r="C46" s="984"/>
      <c r="D46" s="984"/>
      <c r="E46" s="597">
        <f t="shared" si="1"/>
        <v>0</v>
      </c>
    </row>
    <row r="47" spans="1:12" ht="84.75" hidden="1" customHeight="1">
      <c r="A47" s="908" t="s">
        <v>698</v>
      </c>
      <c r="B47" s="983" t="s">
        <v>771</v>
      </c>
      <c r="C47" s="984"/>
      <c r="D47" s="984"/>
      <c r="E47" s="597">
        <f t="shared" si="1"/>
        <v>0</v>
      </c>
      <c r="G47" s="155" t="s">
        <v>10</v>
      </c>
    </row>
    <row r="48" spans="1:12" ht="66" hidden="1" customHeight="1">
      <c r="A48" s="908" t="s">
        <v>751</v>
      </c>
      <c r="B48" s="983" t="s">
        <v>785</v>
      </c>
      <c r="C48" s="984"/>
      <c r="D48" s="984"/>
      <c r="E48" s="597">
        <f t="shared" si="1"/>
        <v>0</v>
      </c>
      <c r="G48" s="155"/>
    </row>
    <row r="49" spans="1:5" ht="62.45" hidden="1" customHeight="1">
      <c r="A49" s="908" t="s">
        <v>751</v>
      </c>
      <c r="B49" s="598" t="s">
        <v>772</v>
      </c>
      <c r="C49" s="596"/>
      <c r="D49" s="596"/>
      <c r="E49" s="597">
        <f t="shared" si="1"/>
        <v>0</v>
      </c>
    </row>
    <row r="50" spans="1:5" ht="43.5" hidden="1" customHeight="1">
      <c r="A50" s="908" t="s">
        <v>33</v>
      </c>
      <c r="B50" s="983" t="s">
        <v>773</v>
      </c>
      <c r="C50" s="984"/>
      <c r="D50" s="984"/>
      <c r="E50" s="597">
        <f t="shared" si="1"/>
        <v>0</v>
      </c>
    </row>
    <row r="51" spans="1:5" ht="62.45" hidden="1" customHeight="1">
      <c r="A51" s="1095" t="s">
        <v>35</v>
      </c>
      <c r="B51" s="983" t="s">
        <v>774</v>
      </c>
      <c r="C51" s="984"/>
      <c r="D51" s="984"/>
      <c r="E51" s="1080">
        <f t="shared" si="1"/>
        <v>0</v>
      </c>
    </row>
    <row r="52" spans="1:5" ht="62.45" hidden="1" customHeight="1" thickBot="1">
      <c r="A52" s="1100" t="s">
        <v>775</v>
      </c>
      <c r="B52" s="1101" t="s">
        <v>776</v>
      </c>
      <c r="C52" s="1102"/>
      <c r="D52" s="1102"/>
      <c r="E52" s="1103">
        <f t="shared" si="1"/>
        <v>0</v>
      </c>
    </row>
    <row r="53" spans="1:5" ht="62.45" hidden="1" customHeight="1" thickBot="1">
      <c r="A53" s="1168" t="s">
        <v>37</v>
      </c>
      <c r="B53" s="1169" t="s">
        <v>786</v>
      </c>
      <c r="C53" s="1170"/>
      <c r="D53" s="1170"/>
      <c r="E53" s="1103">
        <f t="shared" si="1"/>
        <v>0</v>
      </c>
    </row>
    <row r="54" spans="1:5" ht="62.45" hidden="1" customHeight="1" thickBot="1">
      <c r="A54" s="1100" t="s">
        <v>37</v>
      </c>
      <c r="B54" s="1101" t="s">
        <v>777</v>
      </c>
      <c r="C54" s="1102"/>
      <c r="D54" s="1102"/>
      <c r="E54" s="1103">
        <f t="shared" si="1"/>
        <v>0</v>
      </c>
    </row>
    <row r="55" spans="1:5" ht="62.45" hidden="1" customHeight="1" thickBot="1">
      <c r="A55" s="1168" t="s">
        <v>38</v>
      </c>
      <c r="B55" s="1169" t="s">
        <v>778</v>
      </c>
      <c r="C55" s="1170"/>
      <c r="D55" s="1170"/>
      <c r="E55" s="1171">
        <f t="shared" si="1"/>
        <v>0</v>
      </c>
    </row>
    <row r="56" spans="1:5" ht="62.45" hidden="1" customHeight="1" thickBot="1">
      <c r="A56" s="1168" t="s">
        <v>43</v>
      </c>
      <c r="B56" s="1172" t="s">
        <v>779</v>
      </c>
      <c r="C56" s="1170"/>
      <c r="D56" s="1170"/>
      <c r="E56" s="1171">
        <f t="shared" si="1"/>
        <v>0</v>
      </c>
    </row>
    <row r="57" spans="1:5" ht="62.45" hidden="1" customHeight="1" thickBot="1">
      <c r="A57" s="1168" t="s">
        <v>44</v>
      </c>
      <c r="B57" s="1173" t="s">
        <v>780</v>
      </c>
      <c r="C57" s="1170"/>
      <c r="D57" s="1170"/>
      <c r="E57" s="1171">
        <f t="shared" si="1"/>
        <v>0</v>
      </c>
    </row>
    <row r="58" spans="1:5" ht="62.45" hidden="1" customHeight="1" thickBot="1">
      <c r="A58" s="1168" t="s">
        <v>44</v>
      </c>
      <c r="B58" s="1174" t="s">
        <v>781</v>
      </c>
      <c r="C58" s="1170"/>
      <c r="D58" s="1170"/>
      <c r="E58" s="1171">
        <f t="shared" si="1"/>
        <v>0</v>
      </c>
    </row>
    <row r="59" spans="1:5" ht="62.45" hidden="1" customHeight="1" thickBot="1">
      <c r="A59" s="1168" t="s">
        <v>41</v>
      </c>
      <c r="B59" s="1174" t="s">
        <v>782</v>
      </c>
      <c r="C59" s="1170"/>
      <c r="D59" s="1170"/>
      <c r="E59" s="1171">
        <f t="shared" si="1"/>
        <v>0</v>
      </c>
    </row>
    <row r="60" spans="1:5" ht="62.45" hidden="1" customHeight="1" thickBot="1">
      <c r="A60" s="1168" t="s">
        <v>41</v>
      </c>
      <c r="B60" s="1174" t="s">
        <v>783</v>
      </c>
      <c r="C60" s="1170"/>
      <c r="D60" s="1170"/>
      <c r="E60" s="1171">
        <f t="shared" si="1"/>
        <v>0</v>
      </c>
    </row>
    <row r="61" spans="1:5" ht="24.6" hidden="1" customHeight="1" thickBot="1">
      <c r="A61" s="1096" t="s">
        <v>52</v>
      </c>
      <c r="B61" s="1097"/>
      <c r="C61" s="1098">
        <f>SUM(C43:C60)</f>
        <v>0</v>
      </c>
      <c r="D61" s="1098">
        <f>SUM(D43:D60)</f>
        <v>0</v>
      </c>
      <c r="E61" s="1099">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725</v>
      </c>
      <c r="B65" s="381" t="s">
        <v>700</v>
      </c>
      <c r="C65" s="10" t="s">
        <v>10</v>
      </c>
      <c r="D65" s="10"/>
    </row>
    <row r="66" spans="1:7" ht="69" hidden="1" customHeight="1" thickBot="1">
      <c r="A66" s="998" t="s">
        <v>701</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756</v>
      </c>
      <c r="B72" s="1000" t="s">
        <v>755</v>
      </c>
      <c r="C72" s="1001"/>
      <c r="D72" s="1001"/>
      <c r="E72" s="1002"/>
      <c r="F72" s="12"/>
      <c r="G72" s="10"/>
    </row>
    <row r="73" spans="1:7" ht="87.6" customHeight="1" thickBot="1">
      <c r="A73" s="34" t="s">
        <v>17</v>
      </c>
      <c r="B73" s="18" t="s">
        <v>758</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750</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753</v>
      </c>
      <c r="B111" s="987" t="s">
        <v>752</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676</v>
      </c>
      <c r="U113" s="26"/>
      <c r="V113" s="27"/>
      <c r="W113" s="28"/>
      <c r="X113" s="29"/>
      <c r="Y113" s="53"/>
      <c r="Z113" s="1006"/>
      <c r="AA113" s="1007"/>
      <c r="AB113" s="1008"/>
      <c r="AC113" s="13"/>
      <c r="AD113" s="1094" t="s">
        <v>762</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697</v>
      </c>
      <c r="R114" s="1022"/>
      <c r="S114" s="1023"/>
      <c r="T114" s="1079"/>
      <c r="U114" s="15"/>
      <c r="V114" s="1136" t="s">
        <v>764</v>
      </c>
      <c r="W114" s="1139"/>
      <c r="X114" s="1140"/>
      <c r="Y114" s="1138"/>
      <c r="Z114" s="1136" t="s">
        <v>76</v>
      </c>
      <c r="AA114" s="1137"/>
      <c r="AB114" s="995"/>
      <c r="AD114" s="37" t="s">
        <v>77</v>
      </c>
      <c r="AF114" s="13"/>
      <c r="AI114" s="1026" t="s">
        <v>677</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8"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2">
        <v>1963.931948051948</v>
      </c>
      <c r="I116" s="1073">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4">
        <v>6746.5980471928397</v>
      </c>
      <c r="I117" s="1075">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4">
        <v>1372.6260355029585</v>
      </c>
      <c r="I118" s="1075">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4">
        <v>176.61202185792351</v>
      </c>
      <c r="I119" s="1075">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4">
        <v>2160.2437197003082</v>
      </c>
      <c r="I120" s="1075">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4">
        <v>2975.5429954441911</v>
      </c>
      <c r="I121" s="1075">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760</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4">
        <v>3608.690531708759</v>
      </c>
      <c r="I122" s="1075">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4">
        <v>210.02468265162199</v>
      </c>
      <c r="I123" s="1075">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4">
        <v>549.16173120728922</v>
      </c>
      <c r="I124" s="1075">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4">
        <v>4999.8099358466652</v>
      </c>
      <c r="I125" s="1075">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761</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4">
        <v>2552.8931464856582</v>
      </c>
      <c r="I126" s="1075">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4">
        <v>438.39523551705469</v>
      </c>
      <c r="I127" s="1075">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4">
        <v>739.41467540706276</v>
      </c>
      <c r="I128" s="1075">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4">
        <v>595.90187069248441</v>
      </c>
      <c r="I129" s="1075">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4">
        <v>4800.2542313117065</v>
      </c>
      <c r="I130" s="1075">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4">
        <v>94.950131233595798</v>
      </c>
      <c r="I131" s="1075">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4">
        <v>573.16556047197639</v>
      </c>
      <c r="I132" s="1075">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4">
        <v>1513.727305976154</v>
      </c>
      <c r="I133" s="1075">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4">
        <v>1786.3048010656166</v>
      </c>
      <c r="I134" s="1075">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4">
        <v>1487.0686918177364</v>
      </c>
      <c r="I135" s="1075">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4">
        <v>1482.6313099041533</v>
      </c>
      <c r="I136" s="1075">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4">
        <v>787.84250474383305</v>
      </c>
      <c r="I137" s="1075">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4">
        <v>3832.4361090272564</v>
      </c>
      <c r="I138" s="1075">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4">
        <v>2342.3378048780487</v>
      </c>
      <c r="I139" s="1075">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4">
        <v>2461.1250515579891</v>
      </c>
      <c r="I140" s="1075">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4">
        <v>317</v>
      </c>
      <c r="I141" s="1075">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4">
        <v>1771.0762331838566</v>
      </c>
      <c r="I142" s="1075">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6">
        <v>9777.618441931656</v>
      </c>
      <c r="I143" s="1077">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672</v>
      </c>
      <c r="V146" s="47"/>
      <c r="W146" s="47"/>
      <c r="X146" s="47"/>
      <c r="Y146" s="47"/>
      <c r="Z146" s="47"/>
      <c r="AA146" s="47"/>
      <c r="AB146" s="47"/>
    </row>
    <row r="147" spans="1:44">
      <c r="A147" s="11" t="s">
        <v>754</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69" t="s">
        <v>696</v>
      </c>
      <c r="B152" s="993"/>
      <c r="C152" s="1068"/>
      <c r="D152" s="1068"/>
    </row>
    <row r="153" spans="1:44" ht="21.75" thickBot="1">
      <c r="A153" s="56"/>
      <c r="B153" s="1159" t="s">
        <v>788</v>
      </c>
    </row>
    <row r="154" spans="1:44" ht="21.75" thickBot="1">
      <c r="A154" s="56">
        <v>1</v>
      </c>
      <c r="B154" s="46">
        <v>2</v>
      </c>
    </row>
    <row r="155" spans="1:44" ht="57" customHeight="1" thickBot="1">
      <c r="A155" s="32" t="s">
        <v>147</v>
      </c>
      <c r="B155" s="1064" t="s">
        <v>757</v>
      </c>
    </row>
    <row r="156" spans="1:44" ht="63.75" thickBot="1">
      <c r="A156" s="280" t="s">
        <v>17</v>
      </c>
      <c r="B156" s="17" t="s">
        <v>147</v>
      </c>
    </row>
    <row r="157" spans="1:44">
      <c r="A157" s="397" t="str">
        <f t="shared" ref="A157:A184" si="23">A7</f>
        <v>Eastern Florida State College</v>
      </c>
      <c r="B157" s="1065">
        <v>1069587</v>
      </c>
    </row>
    <row r="158" spans="1:44">
      <c r="A158" s="377" t="str">
        <f t="shared" si="23"/>
        <v>Broward College</v>
      </c>
      <c r="B158" s="1066">
        <v>1702837</v>
      </c>
    </row>
    <row r="159" spans="1:44">
      <c r="A159" s="377" t="str">
        <f t="shared" si="23"/>
        <v>College of Central Florida</v>
      </c>
      <c r="B159" s="1066">
        <v>641483</v>
      </c>
    </row>
    <row r="160" spans="1:44">
      <c r="A160" s="377" t="str">
        <f t="shared" si="23"/>
        <v>Chipola College</v>
      </c>
      <c r="B160" s="1066">
        <v>222020</v>
      </c>
    </row>
    <row r="161" spans="1:2">
      <c r="A161" s="377" t="str">
        <f t="shared" si="23"/>
        <v>Daytona State College</v>
      </c>
      <c r="B161" s="1066">
        <v>765955</v>
      </c>
    </row>
    <row r="162" spans="1:2">
      <c r="A162" s="377" t="str">
        <f t="shared" si="23"/>
        <v>Florida SouthWestern State College</v>
      </c>
      <c r="B162" s="1066">
        <v>876744</v>
      </c>
    </row>
    <row r="163" spans="1:2">
      <c r="A163" s="377" t="str">
        <f t="shared" si="23"/>
        <v>Florida State College at Jacksonville</v>
      </c>
      <c r="B163" s="1066">
        <v>1028072</v>
      </c>
    </row>
    <row r="164" spans="1:2">
      <c r="A164" s="377" t="str">
        <f t="shared" si="23"/>
        <v>College of the Florida Keys</v>
      </c>
      <c r="B164" s="1066">
        <v>56638</v>
      </c>
    </row>
    <row r="165" spans="1:2">
      <c r="A165" s="377" t="str">
        <f t="shared" si="23"/>
        <v>Gulf Coast State College</v>
      </c>
      <c r="B165" s="1066">
        <v>322941</v>
      </c>
    </row>
    <row r="166" spans="1:2">
      <c r="A166" s="377" t="str">
        <f t="shared" si="23"/>
        <v>Hillsborough College</v>
      </c>
      <c r="B166" s="1066">
        <v>1508154</v>
      </c>
    </row>
    <row r="167" spans="1:2">
      <c r="A167" s="377" t="str">
        <f t="shared" si="23"/>
        <v>Indian River State College</v>
      </c>
      <c r="B167" s="1066">
        <v>1170072</v>
      </c>
    </row>
    <row r="168" spans="1:2">
      <c r="A168" s="377" t="str">
        <f t="shared" si="23"/>
        <v>Florida Gateway College</v>
      </c>
      <c r="B168" s="1066">
        <v>265298</v>
      </c>
    </row>
    <row r="169" spans="1:2">
      <c r="A169" s="377" t="str">
        <f t="shared" si="23"/>
        <v>Lake-Sumter State College</v>
      </c>
      <c r="B169" s="1066">
        <v>397483</v>
      </c>
    </row>
    <row r="170" spans="1:2">
      <c r="A170" s="377" t="str">
        <f t="shared" si="23"/>
        <v>State College of Florida, Manatee-Sarasota</v>
      </c>
      <c r="B170" s="1066">
        <v>513163</v>
      </c>
    </row>
    <row r="171" spans="1:2">
      <c r="A171" s="377" t="str">
        <f t="shared" si="23"/>
        <v>Miami Dade College</v>
      </c>
      <c r="B171" s="1066">
        <v>4987167</v>
      </c>
    </row>
    <row r="172" spans="1:2">
      <c r="A172" s="377" t="str">
        <f t="shared" si="23"/>
        <v>North Florida College</v>
      </c>
      <c r="B172" s="1066">
        <v>113298</v>
      </c>
    </row>
    <row r="173" spans="1:2">
      <c r="A173" s="377" t="str">
        <f t="shared" si="23"/>
        <v>Northwest Florida State College</v>
      </c>
      <c r="B173" s="1066">
        <v>287572</v>
      </c>
    </row>
    <row r="174" spans="1:2">
      <c r="A174" s="377" t="str">
        <f t="shared" si="23"/>
        <v>Palm Beach State College</v>
      </c>
      <c r="B174" s="1066">
        <v>1386337</v>
      </c>
    </row>
    <row r="175" spans="1:2">
      <c r="A175" s="377" t="str">
        <f t="shared" si="23"/>
        <v>Pasco-Hernando State College</v>
      </c>
      <c r="B175" s="1066">
        <v>815934</v>
      </c>
    </row>
    <row r="176" spans="1:2">
      <c r="A176" s="377" t="str">
        <f t="shared" si="23"/>
        <v>Pensacola State College</v>
      </c>
      <c r="B176" s="1066">
        <v>469053</v>
      </c>
    </row>
    <row r="177" spans="1:2">
      <c r="A177" s="377" t="str">
        <f t="shared" si="23"/>
        <v>Polk State College</v>
      </c>
      <c r="B177" s="1066">
        <v>350043</v>
      </c>
    </row>
    <row r="178" spans="1:2">
      <c r="A178" s="377" t="str">
        <f t="shared" si="23"/>
        <v>St. Johns River State College</v>
      </c>
      <c r="B178" s="1066">
        <v>348815</v>
      </c>
    </row>
    <row r="179" spans="1:2">
      <c r="A179" s="377" t="str">
        <f t="shared" si="23"/>
        <v>St. Petersburg College</v>
      </c>
      <c r="B179" s="1066">
        <v>1479966</v>
      </c>
    </row>
    <row r="180" spans="1:2">
      <c r="A180" s="377" t="str">
        <f t="shared" si="23"/>
        <v>Santa Fe College</v>
      </c>
      <c r="B180" s="1066">
        <v>1264711</v>
      </c>
    </row>
    <row r="181" spans="1:2">
      <c r="A181" s="377" t="str">
        <f t="shared" si="23"/>
        <v>Seminole State College of Florida</v>
      </c>
      <c r="B181" s="1066">
        <v>1540385</v>
      </c>
    </row>
    <row r="182" spans="1:2">
      <c r="A182" s="377" t="str">
        <f t="shared" si="23"/>
        <v>South Florida State College</v>
      </c>
      <c r="B182" s="1066">
        <v>213852</v>
      </c>
    </row>
    <row r="183" spans="1:2">
      <c r="A183" s="377" t="str">
        <f t="shared" si="23"/>
        <v>Tallahassee State College</v>
      </c>
      <c r="B183" s="1066">
        <v>1436493</v>
      </c>
    </row>
    <row r="184" spans="1:2" ht="21.75" thickBot="1">
      <c r="A184" s="378" t="str">
        <f t="shared" si="23"/>
        <v>Valencia College</v>
      </c>
      <c r="B184" s="1067">
        <v>4765927</v>
      </c>
    </row>
    <row r="185" spans="1:2" ht="24" thickBot="1">
      <c r="A185" s="379" t="s">
        <v>47</v>
      </c>
      <c r="B185" s="417">
        <f>SUM(B157:B184)</f>
        <v>30000000</v>
      </c>
    </row>
    <row r="187" spans="1:2" ht="36.75" thickBot="1">
      <c r="A187" s="1069" t="s">
        <v>696</v>
      </c>
      <c r="B187" s="993"/>
    </row>
    <row r="188" spans="1:2" ht="21.75" thickBot="1">
      <c r="A188" s="56"/>
      <c r="B188" s="57" t="s">
        <v>788</v>
      </c>
    </row>
    <row r="189" spans="1:2" ht="21.75" thickBot="1">
      <c r="A189" s="56">
        <v>1</v>
      </c>
      <c r="B189" s="46">
        <v>2</v>
      </c>
    </row>
    <row r="190" spans="1:2" ht="54" thickBot="1">
      <c r="A190" s="1070" t="s">
        <v>678</v>
      </c>
      <c r="B190" s="1064" t="s">
        <v>757</v>
      </c>
    </row>
    <row r="191" spans="1:2" ht="42.75" thickBot="1">
      <c r="A191" s="280" t="s">
        <v>17</v>
      </c>
      <c r="B191" s="17" t="s">
        <v>678</v>
      </c>
    </row>
    <row r="192" spans="1:2">
      <c r="A192" s="397" t="str">
        <f t="shared" ref="A192:A219" si="24">A7</f>
        <v>Eastern Florida State College</v>
      </c>
      <c r="B192" s="1071">
        <v>1163744</v>
      </c>
    </row>
    <row r="193" spans="1:2">
      <c r="A193" s="377" t="str">
        <f t="shared" si="24"/>
        <v>Broward College</v>
      </c>
      <c r="B193" s="1066">
        <v>1367137</v>
      </c>
    </row>
    <row r="194" spans="1:2">
      <c r="A194" s="377" t="str">
        <f t="shared" si="24"/>
        <v>College of Central Florida</v>
      </c>
      <c r="B194" s="1066">
        <v>1001213</v>
      </c>
    </row>
    <row r="195" spans="1:2">
      <c r="A195" s="377" t="str">
        <f t="shared" si="24"/>
        <v>Chipola College</v>
      </c>
      <c r="B195" s="1066">
        <v>654808</v>
      </c>
    </row>
    <row r="196" spans="1:2">
      <c r="A196" s="377" t="str">
        <f t="shared" si="24"/>
        <v>Daytona State College</v>
      </c>
      <c r="B196" s="1066">
        <v>1772572</v>
      </c>
    </row>
    <row r="197" spans="1:2">
      <c r="A197" s="377" t="str">
        <f t="shared" si="24"/>
        <v>Florida SouthWestern State College</v>
      </c>
      <c r="B197" s="1066">
        <v>1494713</v>
      </c>
    </row>
    <row r="198" spans="1:2">
      <c r="A198" s="377" t="str">
        <f t="shared" si="24"/>
        <v>Florida State College at Jacksonville</v>
      </c>
      <c r="B198" s="1066">
        <v>2212839</v>
      </c>
    </row>
    <row r="199" spans="1:2">
      <c r="A199" s="377" t="str">
        <f t="shared" si="24"/>
        <v>College of the Florida Keys</v>
      </c>
      <c r="B199" s="1066">
        <v>662553</v>
      </c>
    </row>
    <row r="200" spans="1:2">
      <c r="A200" s="377" t="str">
        <f t="shared" si="24"/>
        <v>Gulf Coast State College</v>
      </c>
      <c r="B200" s="1066">
        <v>1575608</v>
      </c>
    </row>
    <row r="201" spans="1:2">
      <c r="A201" s="377" t="str">
        <f t="shared" si="24"/>
        <v>Hillsborough College</v>
      </c>
      <c r="B201" s="1066">
        <v>1186213</v>
      </c>
    </row>
    <row r="202" spans="1:2">
      <c r="A202" s="377" t="str">
        <f t="shared" si="24"/>
        <v>Indian River State College</v>
      </c>
      <c r="B202" s="1066">
        <v>2275902</v>
      </c>
    </row>
    <row r="203" spans="1:2">
      <c r="A203" s="377" t="str">
        <f t="shared" si="24"/>
        <v>Florida Gateway College</v>
      </c>
      <c r="B203" s="1066">
        <v>1643510</v>
      </c>
    </row>
    <row r="204" spans="1:2">
      <c r="A204" s="377" t="str">
        <f t="shared" si="24"/>
        <v>Lake-Sumter State College</v>
      </c>
      <c r="B204" s="1066">
        <v>1092283</v>
      </c>
    </row>
    <row r="205" spans="1:2">
      <c r="A205" s="377" t="str">
        <f t="shared" si="24"/>
        <v>State College of Florida, Manatee-Sarasota</v>
      </c>
      <c r="B205" s="1066">
        <v>1530501</v>
      </c>
    </row>
    <row r="206" spans="1:2">
      <c r="A206" s="377" t="str">
        <f t="shared" si="24"/>
        <v>Miami Dade College</v>
      </c>
      <c r="B206" s="1066">
        <v>2808311</v>
      </c>
    </row>
    <row r="207" spans="1:2">
      <c r="A207" s="377" t="str">
        <f t="shared" si="24"/>
        <v>North Florida College</v>
      </c>
      <c r="B207" s="1066">
        <v>473845</v>
      </c>
    </row>
    <row r="208" spans="1:2">
      <c r="A208" s="377" t="str">
        <f t="shared" si="24"/>
        <v>Northwest Florida State College</v>
      </c>
      <c r="B208" s="1066">
        <v>942559</v>
      </c>
    </row>
    <row r="209" spans="1:2">
      <c r="A209" s="377" t="str">
        <f t="shared" si="24"/>
        <v>Palm Beach State College</v>
      </c>
      <c r="B209" s="1066">
        <v>2131701</v>
      </c>
    </row>
    <row r="210" spans="1:2">
      <c r="A210" s="377" t="str">
        <f t="shared" si="24"/>
        <v>Pasco-Hernando State College</v>
      </c>
      <c r="B210" s="1066">
        <v>1547834</v>
      </c>
    </row>
    <row r="211" spans="1:2">
      <c r="A211" s="377" t="str">
        <f t="shared" si="24"/>
        <v>Pensacola State College</v>
      </c>
      <c r="B211" s="1066">
        <v>1393554</v>
      </c>
    </row>
    <row r="212" spans="1:2">
      <c r="A212" s="377" t="str">
        <f t="shared" si="24"/>
        <v>Polk State College</v>
      </c>
      <c r="B212" s="1066">
        <v>1168387</v>
      </c>
    </row>
    <row r="213" spans="1:2">
      <c r="A213" s="377" t="str">
        <f t="shared" si="24"/>
        <v>St. Johns River State College</v>
      </c>
      <c r="B213" s="1066">
        <v>1585072</v>
      </c>
    </row>
    <row r="214" spans="1:2">
      <c r="A214" s="377" t="str">
        <f t="shared" si="24"/>
        <v>St. Petersburg College</v>
      </c>
      <c r="B214" s="1066">
        <v>1845523</v>
      </c>
    </row>
    <row r="215" spans="1:2">
      <c r="A215" s="377" t="str">
        <f t="shared" si="24"/>
        <v>Santa Fe College</v>
      </c>
      <c r="B215" s="1066">
        <v>1427135</v>
      </c>
    </row>
    <row r="216" spans="1:2">
      <c r="A216" s="377" t="str">
        <f t="shared" si="24"/>
        <v>Seminole State College of Florida</v>
      </c>
      <c r="B216" s="1066">
        <v>1434814</v>
      </c>
    </row>
    <row r="217" spans="1:2">
      <c r="A217" s="377" t="str">
        <f t="shared" si="24"/>
        <v>South Florida State College</v>
      </c>
      <c r="B217" s="1066">
        <v>1330680</v>
      </c>
    </row>
    <row r="218" spans="1:2">
      <c r="A218" s="377" t="str">
        <f t="shared" si="24"/>
        <v>Tallahassee State College</v>
      </c>
      <c r="B218" s="1066">
        <v>669075</v>
      </c>
    </row>
    <row r="219" spans="1:2" ht="21.75" thickBot="1">
      <c r="A219" s="378" t="str">
        <f t="shared" si="24"/>
        <v>Valencia College</v>
      </c>
      <c r="B219" s="1067">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106"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723</v>
      </c>
      <c r="B2" s="868"/>
      <c r="C2" s="868"/>
      <c r="D2" s="868"/>
      <c r="E2" s="868"/>
      <c r="F2" s="868"/>
      <c r="G2" s="868"/>
    </row>
    <row r="3" spans="1:9" ht="20.100000000000001" customHeight="1">
      <c r="A3" s="868"/>
      <c r="B3" s="868"/>
      <c r="C3" s="868"/>
      <c r="D3" s="868"/>
      <c r="E3" s="868"/>
      <c r="F3" s="868"/>
      <c r="G3" s="868"/>
      <c r="H3" s="82"/>
    </row>
    <row r="4" spans="1:9" ht="28.35" customHeight="1">
      <c r="A4" s="1084" t="s">
        <v>691</v>
      </c>
      <c r="B4" s="1084"/>
      <c r="C4" s="1084"/>
      <c r="D4" s="1084"/>
      <c r="E4" s="1084"/>
      <c r="F4" s="1084"/>
      <c r="G4" s="1084"/>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29</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724</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8.2004704285549984E-2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89"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725</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38880</v>
      </c>
      <c r="E44" s="108">
        <f>+'EXHIBIT C'!F10</f>
        <v>38920</v>
      </c>
      <c r="F44" s="109">
        <f t="shared" ref="F44:F50" si="0">IF(D44=0,"0",(E44/D44-1))</f>
        <v>1.0288065843622185E-3</v>
      </c>
      <c r="G44" s="110" t="str">
        <f t="shared" ref="G44:G50" si="1">IF(OR(F44&gt;3%, F44&lt;-3%),"YES","NO")</f>
        <v>NO</v>
      </c>
      <c r="H44" s="82"/>
    </row>
    <row r="45" spans="1:8" ht="20.100000000000001" customHeight="1">
      <c r="C45" s="111" t="s">
        <v>123</v>
      </c>
      <c r="D45" s="620">
        <f>VLOOKUP($D$7,VLOOKUP!$A$116:$S$144,5)*30+D60</f>
        <v>150242.05958752465</v>
      </c>
      <c r="E45" s="112">
        <f>+'EXHIBIT C'!F11</f>
        <v>152155</v>
      </c>
      <c r="F45" s="621">
        <f t="shared" si="0"/>
        <v>1.2732389436933556E-2</v>
      </c>
      <c r="G45" s="622" t="str">
        <f t="shared" si="1"/>
        <v>NO</v>
      </c>
      <c r="H45" s="82"/>
    </row>
    <row r="46" spans="1:8" ht="20.100000000000001" customHeight="1">
      <c r="C46" s="623" t="s">
        <v>124</v>
      </c>
      <c r="D46" s="624">
        <f>VLOOKUP($D$7,VLOOKUP!$A$116:$S$144,8)*30</f>
        <v>76586.794394569748</v>
      </c>
      <c r="E46" s="625">
        <f>+'EXHIBIT C'!F12</f>
        <v>69900</v>
      </c>
      <c r="F46" s="621">
        <f t="shared" si="0"/>
        <v>-8.7310017966280906E-2</v>
      </c>
      <c r="G46" s="622" t="str">
        <f t="shared" si="1"/>
        <v>YES</v>
      </c>
      <c r="H46" s="82"/>
    </row>
    <row r="47" spans="1:8" ht="20.100000000000001" customHeight="1">
      <c r="C47" s="623" t="s">
        <v>74</v>
      </c>
      <c r="D47" s="624">
        <f>VLOOKUP($D$7,VLOOKUP!$A$116:$S$144,17)*30</f>
        <v>15264.054669703874</v>
      </c>
      <c r="E47" s="625">
        <f>+'EXHIBIT C'!F13</f>
        <v>14794</v>
      </c>
      <c r="F47" s="621">
        <f t="shared" si="0"/>
        <v>-3.0794875927484644E-2</v>
      </c>
      <c r="G47" s="622" t="str">
        <f t="shared" si="1"/>
        <v>YES</v>
      </c>
      <c r="H47" s="82"/>
    </row>
    <row r="48" spans="1:8" ht="20.100000000000001" customHeight="1">
      <c r="C48" s="623" t="s">
        <v>125</v>
      </c>
      <c r="D48" s="624">
        <f>VLOOKUP($D$7,VLOOKUP!$A$116:$S$144,11)*30</f>
        <v>1859.4642857142856</v>
      </c>
      <c r="E48" s="625">
        <f>+'EXHIBIT C'!F14</f>
        <v>1600</v>
      </c>
      <c r="F48" s="621">
        <f t="shared" si="0"/>
        <v>-0.13953711706520688</v>
      </c>
      <c r="G48" s="622" t="str">
        <f t="shared" si="1"/>
        <v>YES</v>
      </c>
      <c r="H48" s="82"/>
    </row>
    <row r="49" spans="3:8" ht="20.100000000000001" customHeight="1" thickBot="1">
      <c r="C49" s="626" t="s">
        <v>126</v>
      </c>
      <c r="D49" s="627">
        <f>VLOOKUP($D$7,VLOOKUP!$A$116:$S$144,14)*30</f>
        <v>120</v>
      </c>
      <c r="E49" s="628">
        <f>+'EXHIBIT C'!F15</f>
        <v>0</v>
      </c>
      <c r="F49" s="629">
        <f t="shared" si="0"/>
        <v>-1</v>
      </c>
      <c r="G49" s="630" t="str">
        <f t="shared" si="1"/>
        <v>YES</v>
      </c>
      <c r="H49" s="82"/>
    </row>
    <row r="50" spans="3:8" ht="20.100000000000001" customHeight="1" thickBot="1">
      <c r="C50" s="113" t="s">
        <v>47</v>
      </c>
      <c r="D50" s="114">
        <f>SUM(D44:D49)</f>
        <v>282952.37293751253</v>
      </c>
      <c r="E50" s="115">
        <f>+'EXHIBIT C'!F17</f>
        <v>277369</v>
      </c>
      <c r="F50" s="116">
        <f t="shared" si="0"/>
        <v>-1.9732553855434709E-2</v>
      </c>
      <c r="G50" s="117" t="str">
        <f t="shared" si="1"/>
        <v>NO</v>
      </c>
      <c r="H50" s="82"/>
    </row>
    <row r="51" spans="3:8" ht="46.5" customHeight="1" thickBot="1">
      <c r="C51" s="871" t="s">
        <v>127</v>
      </c>
      <c r="D51" s="872"/>
      <c r="E51" s="872"/>
      <c r="F51" s="872"/>
      <c r="G51" s="873"/>
      <c r="H51" s="82"/>
    </row>
    <row r="52" spans="3:8" ht="24.6" customHeight="1" thickBot="1">
      <c r="C52" s="795" t="s">
        <v>692</v>
      </c>
      <c r="D52" s="796"/>
      <c r="E52" s="796"/>
      <c r="F52" s="796"/>
      <c r="G52" s="797"/>
      <c r="H52" s="118"/>
    </row>
    <row r="53" spans="3:8" ht="205.5" customHeight="1" thickBot="1">
      <c r="C53" s="1045" t="s">
        <v>793</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406</v>
      </c>
      <c r="F59" s="632" t="str">
        <f t="shared" ref="F59:F65" si="2">IF(D59=0,"0",(E59/D59-1))</f>
        <v>0</v>
      </c>
      <c r="G59" s="633" t="str">
        <f>IF(OR(F59&gt;5%, F59&lt;-5%),"YES","NO")</f>
        <v>NO</v>
      </c>
    </row>
    <row r="60" spans="3:8" ht="20.100000000000001" customHeight="1">
      <c r="C60" s="111" t="s">
        <v>123</v>
      </c>
      <c r="D60" s="631">
        <f>VLOOKUP($D$7,VLOOKUP!$A$116:$S$144,6)*30</f>
        <v>4924.762469273548</v>
      </c>
      <c r="E60" s="125">
        <f>+'EXHIBIT C'!D20</f>
        <v>2545</v>
      </c>
      <c r="F60" s="632">
        <f t="shared" si="2"/>
        <v>-0.48322380706101076</v>
      </c>
      <c r="G60" s="633" t="str">
        <f t="shared" ref="G60:G65" si="3">IF(OR(F60&gt;5%, F60&lt;-5%),"YES","NO")</f>
        <v>YES</v>
      </c>
      <c r="H60" s="82"/>
    </row>
    <row r="61" spans="3:8" ht="20.100000000000001" customHeight="1">
      <c r="C61" s="623" t="s">
        <v>124</v>
      </c>
      <c r="D61" s="634">
        <f>VLOOKUP($D$7,VLOOKUP!$A$116:$S$144,9)*30</f>
        <v>1703.8055616378367</v>
      </c>
      <c r="E61" s="635">
        <f>+'EXHIBIT C'!D21</f>
        <v>1297</v>
      </c>
      <c r="F61" s="632">
        <f t="shared" si="2"/>
        <v>-0.23876290276149947</v>
      </c>
      <c r="G61" s="633" t="str">
        <f t="shared" si="3"/>
        <v>YES</v>
      </c>
      <c r="H61" s="82"/>
    </row>
    <row r="62" spans="3:8" ht="20.100000000000001" customHeight="1">
      <c r="C62" s="623" t="s">
        <v>74</v>
      </c>
      <c r="D62" s="634">
        <f>VLOOKUP($D$7,VLOOKUP!$A$116:$S$144,18)*30</f>
        <v>470.0227790432802</v>
      </c>
      <c r="E62" s="635">
        <f>+'EXHIBIT C'!D22</f>
        <v>260</v>
      </c>
      <c r="F62" s="632">
        <f t="shared" si="2"/>
        <v>-0.44683532034506157</v>
      </c>
      <c r="G62" s="633" t="str">
        <f t="shared" si="3"/>
        <v>YES</v>
      </c>
      <c r="H62" s="82"/>
    </row>
    <row r="63" spans="3:8" ht="20.100000000000001" customHeight="1">
      <c r="C63" s="623" t="s">
        <v>125</v>
      </c>
      <c r="D63" s="634">
        <f>VLOOKUP($D$7,VLOOKUP!$A$116:$S$144,12)*30</f>
        <v>90.535714285714278</v>
      </c>
      <c r="E63" s="635">
        <f>+'EXHIBIT C'!D23</f>
        <v>79</v>
      </c>
      <c r="F63" s="632">
        <f t="shared" si="2"/>
        <v>-0.12741617357001966</v>
      </c>
      <c r="G63" s="633" t="str">
        <f t="shared" si="3"/>
        <v>YES</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7189.1265242403797</v>
      </c>
      <c r="E65" s="127">
        <f>SUM(E59:E64)</f>
        <v>4587</v>
      </c>
      <c r="F65" s="128">
        <f t="shared" si="2"/>
        <v>-0.36195308504677159</v>
      </c>
      <c r="G65" s="129" t="str">
        <f t="shared" si="3"/>
        <v>YES</v>
      </c>
      <c r="H65" s="82"/>
    </row>
    <row r="66" spans="1:8" ht="42" customHeight="1" thickBot="1">
      <c r="C66" s="871" t="s">
        <v>132</v>
      </c>
      <c r="D66" s="872"/>
      <c r="E66" s="872"/>
      <c r="F66" s="872"/>
      <c r="G66" s="873"/>
      <c r="H66" s="82"/>
    </row>
    <row r="67" spans="1:8" ht="24.6" customHeight="1" thickBot="1">
      <c r="A67" s="92"/>
      <c r="B67" s="92"/>
      <c r="C67" s="792" t="s">
        <v>692</v>
      </c>
      <c r="D67" s="793"/>
      <c r="E67" s="793"/>
      <c r="F67" s="793"/>
      <c r="G67" s="794"/>
      <c r="H67" s="82"/>
    </row>
    <row r="68" spans="1:8" ht="227.25" customHeight="1" thickBot="1">
      <c r="A68" s="92"/>
      <c r="B68" s="92"/>
      <c r="C68" s="1045" t="s">
        <v>793</v>
      </c>
      <c r="D68" s="1048"/>
      <c r="E68" s="1048"/>
      <c r="F68" s="1048"/>
      <c r="G68" s="1049"/>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0"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0"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52058669</v>
      </c>
      <c r="E84" s="1085">
        <f>+'EXHIBIT D'!G77</f>
        <v>52058669</v>
      </c>
      <c r="F84" s="1085">
        <f>D84-E84</f>
        <v>0</v>
      </c>
      <c r="G84" s="82"/>
      <c r="H84" s="82"/>
    </row>
    <row r="85" spans="1:8" ht="20.100000000000001" customHeight="1">
      <c r="A85" s="92"/>
      <c r="B85" s="92"/>
      <c r="C85" s="642" t="s">
        <v>147</v>
      </c>
      <c r="D85" s="641">
        <f>VLOOKUP($D$7,VLOOKUP!$A$157:$B$185,2)</f>
        <v>1170072</v>
      </c>
      <c r="E85" s="1085">
        <f>'EXHIBIT D'!G79</f>
        <v>1170072</v>
      </c>
      <c r="F85" s="1085">
        <f>D85-E85</f>
        <v>0</v>
      </c>
      <c r="G85" s="82"/>
      <c r="H85" s="82"/>
    </row>
    <row r="86" spans="1:8" ht="20.100000000000001" customHeight="1">
      <c r="A86" s="92"/>
      <c r="B86" s="92"/>
      <c r="C86" s="642" t="s">
        <v>148</v>
      </c>
      <c r="D86" s="641">
        <f>VLOOKUP($D$7,VLOOKUP!$A$7:$E$35,3)</f>
        <v>9889375</v>
      </c>
      <c r="E86" s="1085">
        <f>'EXHIBIT D'!G82</f>
        <v>9889375</v>
      </c>
      <c r="F86" s="1085">
        <f>D86-E86</f>
        <v>0</v>
      </c>
      <c r="G86" s="82"/>
      <c r="H86" s="82"/>
    </row>
    <row r="87" spans="1:8" ht="20.100000000000001" customHeight="1" thickBot="1">
      <c r="A87" s="91"/>
      <c r="B87" s="91"/>
      <c r="C87" s="137" t="s">
        <v>678</v>
      </c>
      <c r="D87" s="641">
        <f>VLOOKUP($D$7,VLOOKUP!$A$192:$B$220,2)</f>
        <v>2275902</v>
      </c>
      <c r="E87" s="1086">
        <f>'EXHIBIT D'!G78</f>
        <v>2275902</v>
      </c>
      <c r="F87" s="1085">
        <f>D87-E87</f>
        <v>0</v>
      </c>
      <c r="G87" s="82"/>
      <c r="H87" s="82"/>
    </row>
    <row r="88" spans="1:8" ht="20.100000000000001" customHeight="1" thickBot="1">
      <c r="A88" s="91"/>
      <c r="B88" s="91"/>
      <c r="C88" s="138" t="s">
        <v>149</v>
      </c>
      <c r="D88" s="139">
        <f>SUM(D84:D87)</f>
        <v>65394018</v>
      </c>
      <c r="E88" s="139">
        <f>SUM(E84:E87)</f>
        <v>65394018</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763</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9903768</v>
      </c>
      <c r="D101" s="786" t="s">
        <v>726</v>
      </c>
      <c r="E101" s="786"/>
      <c r="F101" s="786"/>
      <c r="G101" s="82"/>
      <c r="H101" s="82"/>
    </row>
    <row r="102" spans="1:8" ht="20.100000000000001" customHeight="1">
      <c r="A102" s="89"/>
      <c r="B102" s="89"/>
      <c r="C102" s="644">
        <f>'EXHIBIT D'!G266-'EXHIBIT D'!G252-'EXHIBIT D'!G264</f>
        <v>9903768</v>
      </c>
      <c r="D102" s="788" t="s">
        <v>727</v>
      </c>
      <c r="E102" s="788"/>
      <c r="F102" s="788"/>
      <c r="G102" s="82"/>
      <c r="H102" s="82"/>
    </row>
    <row r="103" spans="1:8" ht="66.599999999999994" customHeight="1">
      <c r="A103" s="145"/>
      <c r="B103" s="145"/>
      <c r="C103" s="645">
        <f>C101-C102</f>
        <v>0</v>
      </c>
      <c r="D103" s="876" t="s">
        <v>685</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689</v>
      </c>
      <c r="D106" s="869"/>
      <c r="E106" s="869"/>
      <c r="F106" s="869"/>
      <c r="G106" s="869"/>
      <c r="H106" s="787"/>
    </row>
    <row r="107" spans="1:8" ht="20.100000000000001" customHeight="1">
      <c r="A107" s="145"/>
      <c r="B107" s="145"/>
    </row>
    <row r="108" spans="1:8" ht="24.75" customHeight="1">
      <c r="A108" s="145"/>
      <c r="B108" s="145"/>
      <c r="C108" s="148">
        <f>'EXHIBIT A'!E14</f>
        <v>64834607</v>
      </c>
      <c r="D108" s="11" t="s">
        <v>728</v>
      </c>
    </row>
    <row r="109" spans="1:8" ht="26.25" customHeight="1">
      <c r="A109" s="145"/>
      <c r="B109" s="145"/>
      <c r="C109" s="646">
        <f>'EXHIBIT A'!E36</f>
        <v>66034607</v>
      </c>
      <c r="D109" s="11" t="s">
        <v>729</v>
      </c>
    </row>
    <row r="110" spans="1:8" ht="26.1" customHeight="1">
      <c r="A110" s="145"/>
      <c r="B110" s="145"/>
      <c r="C110" s="647">
        <f>C108-C109</f>
        <v>-1200000</v>
      </c>
      <c r="D110" s="83" t="s">
        <v>157</v>
      </c>
      <c r="E110" s="83"/>
      <c r="F110" s="83"/>
      <c r="G110" s="83"/>
    </row>
    <row r="111" spans="1:8" ht="20.100000000000001" customHeight="1">
      <c r="A111" s="145"/>
      <c r="B111" s="145"/>
      <c r="C111" s="148"/>
    </row>
    <row r="112" spans="1:8" ht="26.1" customHeight="1">
      <c r="A112" s="145"/>
      <c r="B112" s="145"/>
      <c r="C112" s="645">
        <f>'EXHIBIT D'!G186</f>
        <v>1200000</v>
      </c>
      <c r="D112" s="142" t="s">
        <v>158</v>
      </c>
      <c r="E112" s="86"/>
      <c r="F112" s="86"/>
    </row>
    <row r="113" spans="1:8" ht="20.100000000000001" customHeight="1"/>
    <row r="114" spans="1:8" ht="38.450000000000003" customHeight="1">
      <c r="C114" s="1088">
        <f>C110+C112</f>
        <v>0</v>
      </c>
      <c r="D114" s="876" t="s">
        <v>686</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91.790005138746139</v>
      </c>
      <c r="D119" s="11" t="s">
        <v>78</v>
      </c>
    </row>
    <row r="120" spans="1:8" ht="20.100000000000001" customHeight="1">
      <c r="C120" s="151"/>
    </row>
    <row r="121" spans="1:8" ht="20.100000000000001" customHeight="1">
      <c r="C121" s="152">
        <f>IF('EXHIBIT G'!D118=0,"No Credit Hours or Not Applicable",('EXHIBIT G'!D118/'EXHIBIT C'!D19))</f>
        <v>275.3694581280788</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7" t="str">
        <f>IF(+'EXHIBIT G'!D117='EXHIBIT C'!H10,"Equal","Not Equal")</f>
        <v>Equal</v>
      </c>
      <c r="D126" s="877" t="s">
        <v>687</v>
      </c>
      <c r="E126" s="877"/>
      <c r="F126" s="877"/>
      <c r="G126" s="877"/>
    </row>
    <row r="127" spans="1:8" ht="20.100000000000001" customHeight="1">
      <c r="C127" s="151"/>
      <c r="D127" s="84"/>
      <c r="E127" s="84"/>
      <c r="F127" s="84"/>
      <c r="G127" s="84"/>
    </row>
    <row r="128" spans="1:8" ht="20.100000000000001" customHeight="1"/>
    <row r="129" spans="1:8" ht="58.35" customHeight="1">
      <c r="C129" s="1087" t="str">
        <f>IF(+'EXHIBIT G'!D118='EXHIBIT C'!F19,"Equal","Not Equal")</f>
        <v>Equal</v>
      </c>
      <c r="D129" s="877" t="s">
        <v>688</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712</v>
      </c>
      <c r="D133" s="869"/>
      <c r="E133" s="869"/>
      <c r="F133" s="869"/>
      <c r="G133" s="869"/>
      <c r="H133" s="787"/>
    </row>
    <row r="134" spans="1:8" ht="20.100000000000001" customHeight="1"/>
    <row r="135" spans="1:8" ht="20.100000000000001" customHeight="1">
      <c r="C135" s="1087" t="str">
        <f>IF(+'EXHIBIT G'!F112='EXHIBIT G'!F128,"Equal","Not Equal")</f>
        <v>Equal</v>
      </c>
      <c r="D135" s="786" t="s">
        <v>165</v>
      </c>
      <c r="E135" s="786"/>
      <c r="F135" s="786"/>
    </row>
    <row r="136" spans="1:8" ht="20.100000000000001" customHeight="1" thickBot="1">
      <c r="C136" s="10"/>
    </row>
    <row r="137" spans="1:8" ht="24.6" customHeight="1" thickBot="1">
      <c r="C137" s="795" t="s">
        <v>693</v>
      </c>
      <c r="D137" s="796"/>
      <c r="E137" s="796"/>
      <c r="F137" s="796"/>
      <c r="G137" s="797"/>
      <c r="H137" s="22"/>
    </row>
    <row r="138" spans="1:8" ht="199.5" customHeight="1" thickBot="1">
      <c r="C138" s="1050"/>
      <c r="D138" s="1051"/>
      <c r="E138" s="1051"/>
      <c r="F138" s="1051"/>
      <c r="G138" s="1052"/>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731</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Indian River State College</v>
      </c>
      <c r="D8" s="803"/>
      <c r="E8" s="803"/>
      <c r="F8" s="273"/>
      <c r="G8" s="273"/>
    </row>
    <row r="9" spans="2:7" ht="25.35" customHeight="1"/>
    <row r="10" spans="2:7" ht="41.45" customHeight="1">
      <c r="E10" s="554" t="s">
        <v>170</v>
      </c>
    </row>
    <row r="11" spans="2:7" ht="25.35" customHeight="1">
      <c r="B11" s="22" t="s">
        <v>732</v>
      </c>
      <c r="D11" s="22"/>
      <c r="E11" s="155"/>
    </row>
    <row r="12" spans="2:7" ht="25.35" customHeight="1">
      <c r="B12" s="22"/>
      <c r="C12" s="22"/>
      <c r="D12" s="22"/>
    </row>
    <row r="13" spans="2:7" ht="25.35" customHeight="1">
      <c r="B13" s="11" t="s">
        <v>733</v>
      </c>
      <c r="C13" s="22"/>
      <c r="D13" s="22"/>
      <c r="E13" s="1093">
        <v>-42634607</v>
      </c>
    </row>
    <row r="14" spans="2:7" ht="25.35" customHeight="1">
      <c r="B14" s="11" t="s">
        <v>171</v>
      </c>
      <c r="D14" s="22"/>
      <c r="E14" s="1156">
        <v>64834607</v>
      </c>
    </row>
    <row r="15" spans="2:7" ht="25.35" customHeight="1">
      <c r="B15" s="22"/>
      <c r="D15" s="22"/>
      <c r="E15" s="156"/>
    </row>
    <row r="16" spans="2:7" ht="25.35" customHeight="1">
      <c r="B16" s="11" t="s">
        <v>734</v>
      </c>
      <c r="C16" s="22"/>
      <c r="D16" s="22"/>
      <c r="E16" s="555">
        <f>+E14+E13</f>
        <v>22200000</v>
      </c>
    </row>
    <row r="17" spans="2:7" ht="25.35" customHeight="1">
      <c r="B17" s="22"/>
      <c r="C17" s="22"/>
      <c r="D17" s="22"/>
      <c r="E17" s="157"/>
    </row>
    <row r="18" spans="2:7" ht="25.35" customHeight="1">
      <c r="B18" s="11" t="s">
        <v>172</v>
      </c>
      <c r="C18" s="22"/>
      <c r="D18" s="22"/>
      <c r="E18" s="167">
        <f>+'EXHIBIT D'!G143-SUM(+'EXHIBIT D'!G133+'EXHIBIT D'!G134)</f>
        <v>98514530</v>
      </c>
      <c r="G18" s="132"/>
    </row>
    <row r="19" spans="2:7" ht="25.35" customHeight="1">
      <c r="B19" s="11" t="s">
        <v>173</v>
      </c>
      <c r="D19" s="22"/>
      <c r="E19" s="555">
        <f>+'EXHIBIT D'!G133+'EXHIBIT D'!G134</f>
        <v>56200</v>
      </c>
    </row>
    <row r="20" spans="2:7" ht="25.35" customHeight="1">
      <c r="B20" s="22"/>
      <c r="D20" s="22"/>
      <c r="E20" s="162"/>
    </row>
    <row r="21" spans="2:7" ht="25.35" customHeight="1">
      <c r="B21" s="11" t="s">
        <v>174</v>
      </c>
      <c r="C21" s="22"/>
      <c r="D21" s="22"/>
      <c r="E21" s="556">
        <f>+E19+E18</f>
        <v>98570730</v>
      </c>
    </row>
    <row r="22" spans="2:7" ht="25.35" customHeight="1">
      <c r="B22" s="22"/>
      <c r="C22" s="22"/>
      <c r="D22" s="22"/>
      <c r="E22" s="162"/>
    </row>
    <row r="23" spans="2:7" ht="25.35" customHeight="1">
      <c r="B23" s="22" t="s">
        <v>175</v>
      </c>
      <c r="C23" s="22"/>
      <c r="D23" s="22"/>
      <c r="E23" s="556">
        <f>+E21+E16</f>
        <v>120770730</v>
      </c>
    </row>
    <row r="24" spans="2:7" ht="25.35" customHeight="1">
      <c r="B24" s="22"/>
      <c r="C24" s="22"/>
      <c r="D24" s="22"/>
      <c r="E24" s="162"/>
    </row>
    <row r="25" spans="2:7" ht="25.35" customHeight="1">
      <c r="B25" s="11" t="s">
        <v>176</v>
      </c>
      <c r="C25" s="22"/>
      <c r="D25" s="22"/>
      <c r="E25" s="168">
        <f>'EXHIBIT D'!G248-SUM(+'EXHIBIT D'!G222+'EXHIBIT D'!G223)</f>
        <v>109874836</v>
      </c>
    </row>
    <row r="26" spans="2:7" ht="25.35" customHeight="1">
      <c r="B26" s="11" t="s">
        <v>177</v>
      </c>
      <c r="D26" s="22"/>
      <c r="E26" s="555">
        <f>'EXHIBIT D'!G222+'EXHIBIT D'!G223</f>
        <v>992126</v>
      </c>
    </row>
    <row r="27" spans="2:7" ht="25.35" customHeight="1">
      <c r="B27" s="22"/>
      <c r="D27" s="22"/>
      <c r="E27" s="162"/>
    </row>
    <row r="28" spans="2:7" ht="25.35" customHeight="1">
      <c r="B28" s="22" t="s">
        <v>178</v>
      </c>
      <c r="C28" s="22"/>
      <c r="D28" s="22"/>
      <c r="E28" s="557">
        <f>+E26+E25</f>
        <v>110866962</v>
      </c>
    </row>
    <row r="29" spans="2:7" ht="25.35" customHeight="1">
      <c r="B29" s="22"/>
      <c r="C29" s="22"/>
      <c r="D29" s="22"/>
      <c r="E29" s="158"/>
    </row>
    <row r="30" spans="2:7" ht="25.35" customHeight="1">
      <c r="B30" s="22" t="s">
        <v>735</v>
      </c>
      <c r="C30" s="22"/>
      <c r="D30" s="22"/>
      <c r="E30" s="158"/>
    </row>
    <row r="31" spans="2:7" ht="25.35" customHeight="1">
      <c r="B31" s="22"/>
      <c r="C31" s="22"/>
      <c r="D31" s="22"/>
      <c r="E31" s="158"/>
    </row>
    <row r="32" spans="2:7" ht="25.35" customHeight="1">
      <c r="B32" s="11" t="s">
        <v>179</v>
      </c>
      <c r="C32" s="22"/>
      <c r="D32" s="159">
        <f>+E23-E28</f>
        <v>9903768</v>
      </c>
      <c r="E32" s="158"/>
    </row>
    <row r="33" spans="2:10" ht="25.35" customHeight="1">
      <c r="B33" s="11" t="s">
        <v>180</v>
      </c>
      <c r="C33" s="22"/>
      <c r="D33" s="558">
        <f>+'EXHIBIT D'!G186</f>
        <v>1200000</v>
      </c>
      <c r="E33" s="158"/>
    </row>
    <row r="34" spans="2:10" ht="25.35" customHeight="1">
      <c r="B34" s="22"/>
      <c r="D34" s="22"/>
      <c r="E34" s="158"/>
      <c r="J34" s="160"/>
    </row>
    <row r="35" spans="2:10" ht="25.35" customHeight="1">
      <c r="B35" s="11" t="s">
        <v>736</v>
      </c>
      <c r="C35" s="22"/>
      <c r="D35" s="22"/>
      <c r="E35" s="161">
        <f>+D32+D33</f>
        <v>11103768</v>
      </c>
    </row>
    <row r="36" spans="2:10" ht="25.35" customHeight="1">
      <c r="B36" s="11" t="s">
        <v>737</v>
      </c>
      <c r="C36" s="22"/>
      <c r="D36" s="22"/>
      <c r="E36" s="556">
        <f>-'EXHIBIT D'!G264</f>
        <v>66034607</v>
      </c>
      <c r="J36" s="42"/>
    </row>
    <row r="37" spans="2:10" ht="25.35" customHeight="1">
      <c r="D37" s="22"/>
      <c r="E37" s="161"/>
    </row>
    <row r="38" spans="2:10" ht="25.35" customHeight="1">
      <c r="B38" s="22" t="s">
        <v>738</v>
      </c>
      <c r="D38" s="22"/>
      <c r="E38" s="555">
        <f>+E35-E36</f>
        <v>-54930839</v>
      </c>
    </row>
    <row r="39" spans="2:10" ht="25.35" customHeight="1">
      <c r="B39" s="22"/>
      <c r="C39" s="22"/>
      <c r="D39" s="22"/>
      <c r="E39" s="162"/>
    </row>
    <row r="40" spans="2:10" ht="25.35" customHeight="1">
      <c r="B40" s="11" t="s">
        <v>739</v>
      </c>
      <c r="C40" s="22"/>
      <c r="D40" s="22"/>
      <c r="E40" s="557">
        <f>'EXHIBIT D'!G253+'EXHIBIT D'!G254+'EXHIBIT D'!G255+'EXHIBIT D'!G256+'EXHIBIT D'!G257+'EXHIBIT D'!G258+'EXHIBIT D'!G259+'EXHIBIT D'!G260</f>
        <v>9903768</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740</v>
      </c>
      <c r="C44" s="22"/>
      <c r="D44" s="22"/>
      <c r="E44" s="559">
        <f>+E40/E23</f>
        <v>8.2004704285549984E-2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e4HrmRPO45AQghWTjgzdTSX0qCKzFINN18l06GSENv9mec7DTpDoROE/VXQyhhJ/x2X0gsKQ5iZLyMRcCcK9Ig==" saltValue="YdZFSdhHdDaW0/BoiVMJmA=="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4" zoomScale="50" zoomScaleNormal="50" zoomScalePageLayoutView="50" workbookViewId="0">
      <selection activeCell="A32" sqref="A32"/>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741</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Indian River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5.39</v>
      </c>
      <c r="E14" s="928">
        <v>10.74</v>
      </c>
      <c r="F14" s="928">
        <v>4.59</v>
      </c>
      <c r="G14" s="649">
        <f>SUM(B14:F14)</f>
        <v>117.10000000000001</v>
      </c>
      <c r="H14" s="355">
        <f>G14*30</f>
        <v>3513.0000000000005</v>
      </c>
    </row>
    <row r="15" spans="1:18" s="11" customFormat="1" ht="20.100000000000001" customHeight="1">
      <c r="A15" s="22" t="s">
        <v>198</v>
      </c>
      <c r="B15" s="929">
        <v>81.209999999999994</v>
      </c>
      <c r="C15" s="929">
        <v>4.0599999999999996</v>
      </c>
      <c r="D15" s="929">
        <v>5</v>
      </c>
      <c r="E15" s="929">
        <v>9.5</v>
      </c>
      <c r="F15" s="929">
        <v>4.0599999999999996</v>
      </c>
      <c r="G15" s="649">
        <f>SUM(B15:F15)</f>
        <v>103.83</v>
      </c>
      <c r="H15" s="328">
        <f>G15*30</f>
        <v>3114.9</v>
      </c>
    </row>
    <row r="16" spans="1:18" s="11" customFormat="1" ht="20.100000000000001" customHeight="1" thickBot="1">
      <c r="A16" s="22" t="s">
        <v>74</v>
      </c>
      <c r="B16" s="930">
        <v>72</v>
      </c>
      <c r="C16" s="930">
        <v>0</v>
      </c>
      <c r="D16" s="931"/>
      <c r="E16" s="930">
        <v>1.2</v>
      </c>
      <c r="F16" s="930">
        <v>3.6</v>
      </c>
      <c r="G16" s="329">
        <f>SUM(B16:F16)</f>
        <v>76.8</v>
      </c>
      <c r="H16" s="650">
        <f>G16*30</f>
        <v>2304</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30</v>
      </c>
      <c r="C19" s="356"/>
      <c r="D19" s="356"/>
      <c r="E19" s="356"/>
      <c r="F19" s="356"/>
      <c r="G19" s="649">
        <f>B19</f>
        <v>30</v>
      </c>
      <c r="H19" s="577">
        <f>G19*3</f>
        <v>90</v>
      </c>
    </row>
    <row r="20" spans="1:11" s="11" customFormat="1" ht="20.100000000000001" customHeight="1" thickBot="1">
      <c r="A20" s="22" t="s">
        <v>202</v>
      </c>
      <c r="B20" s="568">
        <v>30</v>
      </c>
      <c r="C20" s="310"/>
      <c r="D20" s="310"/>
      <c r="E20" s="310"/>
      <c r="F20" s="310"/>
      <c r="G20" s="331">
        <f>B20</f>
        <v>30</v>
      </c>
      <c r="H20" s="543">
        <f>G20*3</f>
        <v>90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275.37</v>
      </c>
      <c r="D29" s="928">
        <v>4.59</v>
      </c>
      <c r="E29" s="515">
        <f>D14</f>
        <v>5.39</v>
      </c>
      <c r="F29" s="928">
        <v>10.74</v>
      </c>
      <c r="G29" s="928">
        <v>12.12</v>
      </c>
      <c r="H29" s="336">
        <f>SUM(B29:G29)</f>
        <v>400</v>
      </c>
      <c r="I29" s="349">
        <f>H29*30</f>
        <v>12000</v>
      </c>
    </row>
    <row r="30" spans="1:11" s="11" customFormat="1" ht="20.100000000000001" customHeight="1">
      <c r="A30" s="22" t="str">
        <f t="shared" si="0"/>
        <v>LOWER LEVEL - CREDIT (A &amp; P, PSV, DEVELOPMENTAL EDUCATION AND EPI)</v>
      </c>
      <c r="B30" s="653">
        <f t="shared" si="0"/>
        <v>81.209999999999994</v>
      </c>
      <c r="C30" s="932">
        <v>243.78</v>
      </c>
      <c r="D30" s="932">
        <v>16.25</v>
      </c>
      <c r="E30" s="654">
        <f>D15</f>
        <v>5</v>
      </c>
      <c r="F30" s="932">
        <v>28</v>
      </c>
      <c r="G30" s="932">
        <v>16.25</v>
      </c>
      <c r="H30" s="649">
        <f>SUM(B30:G30)</f>
        <v>390.49</v>
      </c>
      <c r="I30" s="328">
        <f>H30*30</f>
        <v>11714.7</v>
      </c>
    </row>
    <row r="31" spans="1:11" s="11" customFormat="1" ht="20.100000000000001" customHeight="1">
      <c r="A31" s="22" t="str">
        <f t="shared" si="0"/>
        <v>CAREER CERTIFICATE AND APPLIED TECHNOLOGY DIPLOMA</v>
      </c>
      <c r="B31" s="1105">
        <f t="shared" si="0"/>
        <v>72</v>
      </c>
      <c r="C31" s="929">
        <v>216</v>
      </c>
      <c r="D31" s="929">
        <v>0</v>
      </c>
      <c r="E31" s="1106"/>
      <c r="F31" s="929">
        <v>3.9</v>
      </c>
      <c r="G31" s="929">
        <v>14.4</v>
      </c>
      <c r="H31" s="1107">
        <f>SUM(B31:G31)</f>
        <v>306.29999999999995</v>
      </c>
      <c r="I31" s="1107">
        <f>H31*30</f>
        <v>9188.9999999999982</v>
      </c>
    </row>
    <row r="32" spans="1:11" s="11" customFormat="1" ht="20.100000000000001" customHeight="1" thickBot="1">
      <c r="A32" s="22" t="s">
        <v>705</v>
      </c>
      <c r="B32" s="1122">
        <v>0</v>
      </c>
      <c r="C32" s="1120">
        <v>0</v>
      </c>
      <c r="D32" s="1120">
        <v>0</v>
      </c>
      <c r="E32" s="1121"/>
      <c r="F32" s="1120">
        <v>0</v>
      </c>
      <c r="G32" s="1120">
        <v>0</v>
      </c>
      <c r="H32" s="1107">
        <f>SUM(B32:G32)</f>
        <v>0</v>
      </c>
      <c r="I32" s="1107">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30</v>
      </c>
      <c r="C35" s="356"/>
      <c r="D35" s="356"/>
      <c r="E35" s="356"/>
      <c r="F35" s="356"/>
      <c r="G35" s="356"/>
      <c r="H35" s="655">
        <f>B35</f>
        <v>30</v>
      </c>
      <c r="I35" s="350">
        <f>H35*3</f>
        <v>90</v>
      </c>
      <c r="J35" s="334"/>
      <c r="K35" s="334"/>
    </row>
    <row r="36" spans="1:11" s="11" customFormat="1" ht="20.100000000000001" customHeight="1" thickBot="1">
      <c r="A36" s="22" t="str">
        <f>A20</f>
        <v>ADULT GENERAL EDUCATION AND SECONDARY (PER TERM)</v>
      </c>
      <c r="B36" s="656">
        <f>B20</f>
        <v>30</v>
      </c>
      <c r="C36" s="310"/>
      <c r="D36" s="310"/>
      <c r="E36" s="310"/>
      <c r="F36" s="310"/>
      <c r="G36" s="310"/>
      <c r="H36" s="340">
        <f>B36</f>
        <v>30</v>
      </c>
      <c r="I36" s="657">
        <f>H36*3</f>
        <v>90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704</v>
      </c>
      <c r="B41" s="882"/>
      <c r="C41" s="882"/>
      <c r="D41" s="882"/>
      <c r="E41" s="882"/>
      <c r="F41" s="882"/>
      <c r="G41" s="882"/>
      <c r="H41" s="882"/>
      <c r="I41" s="882"/>
      <c r="J41" s="169"/>
    </row>
    <row r="42" spans="1:11" ht="20.25" customHeight="1">
      <c r="A42" s="11" t="s">
        <v>742</v>
      </c>
      <c r="B42" s="171"/>
      <c r="C42" s="171"/>
      <c r="D42" s="171"/>
      <c r="E42" s="171"/>
      <c r="F42" s="171"/>
      <c r="G42" s="171"/>
      <c r="H42" s="171"/>
      <c r="I42" s="171"/>
    </row>
    <row r="43" spans="1:11" ht="20.25" customHeight="1">
      <c r="A43" s="11" t="s">
        <v>706</v>
      </c>
      <c r="B43" s="171"/>
      <c r="C43" s="171"/>
      <c r="D43" s="171"/>
      <c r="E43" s="171"/>
      <c r="F43" s="171"/>
      <c r="G43" s="171"/>
      <c r="H43" s="171"/>
      <c r="I43" s="171"/>
    </row>
    <row r="44" spans="1:11" ht="20.25" customHeight="1">
      <c r="A44" s="11" t="s">
        <v>710</v>
      </c>
      <c r="B44" s="171"/>
      <c r="C44" s="171"/>
      <c r="D44" s="171"/>
      <c r="E44" s="171"/>
      <c r="F44" s="171"/>
      <c r="G44" s="171"/>
      <c r="H44" s="171"/>
      <c r="I44" s="171"/>
    </row>
    <row r="45" spans="1:11" ht="20.25" customHeight="1">
      <c r="A45" s="11" t="s">
        <v>707</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4" zoomScale="70" zoomScaleNormal="70" zoomScaleSheetLayoutView="50" zoomScalePageLayoutView="50" workbookViewId="0">
      <selection activeCell="H10" sqref="H10"/>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743</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Indian River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39293</v>
      </c>
      <c r="E10" s="518">
        <v>373</v>
      </c>
      <c r="F10" s="519">
        <f t="shared" ref="F10:F15" si="0">+D10-E10</f>
        <v>38920</v>
      </c>
      <c r="G10" s="519">
        <f>'EXHIBIT B'!B14</f>
        <v>91.79</v>
      </c>
      <c r="H10" s="1155">
        <f>ROUND(+F10*G10,0)</f>
        <v>3572467</v>
      </c>
    </row>
    <row r="11" spans="1:9" ht="20.100000000000001" customHeight="1">
      <c r="A11" s="660" t="s">
        <v>191</v>
      </c>
      <c r="B11" s="660" t="s">
        <v>123</v>
      </c>
      <c r="C11" s="661" t="s">
        <v>218</v>
      </c>
      <c r="D11" s="659">
        <v>209843</v>
      </c>
      <c r="E11" s="659">
        <v>57688</v>
      </c>
      <c r="F11" s="662">
        <f t="shared" si="0"/>
        <v>152155</v>
      </c>
      <c r="G11" s="662">
        <f>+'EXHIBIT B'!B15</f>
        <v>81.209999999999994</v>
      </c>
      <c r="H11" s="663">
        <f t="shared" ref="H11:H15" si="1">ROUND(+F11*G11,0)</f>
        <v>12356508</v>
      </c>
    </row>
    <row r="12" spans="1:9" ht="20.100000000000001" customHeight="1">
      <c r="A12" s="660" t="s">
        <v>191</v>
      </c>
      <c r="B12" s="660" t="s">
        <v>124</v>
      </c>
      <c r="C12" s="661" t="s">
        <v>219</v>
      </c>
      <c r="D12" s="659">
        <v>78796</v>
      </c>
      <c r="E12" s="659">
        <v>8896</v>
      </c>
      <c r="F12" s="662">
        <f t="shared" si="0"/>
        <v>69900</v>
      </c>
      <c r="G12" s="662">
        <f>+'EXHIBIT B'!B15</f>
        <v>81.209999999999994</v>
      </c>
      <c r="H12" s="663">
        <f t="shared" si="1"/>
        <v>5676579</v>
      </c>
    </row>
    <row r="13" spans="1:9" ht="20.100000000000001" customHeight="1">
      <c r="A13" s="660" t="s">
        <v>191</v>
      </c>
      <c r="B13" s="660" t="s">
        <v>74</v>
      </c>
      <c r="C13" s="661" t="s">
        <v>220</v>
      </c>
      <c r="D13" s="664">
        <v>14865</v>
      </c>
      <c r="E13" s="664">
        <v>71</v>
      </c>
      <c r="F13" s="662">
        <f t="shared" si="0"/>
        <v>14794</v>
      </c>
      <c r="G13" s="662">
        <f>+'EXHIBIT B'!B16</f>
        <v>72</v>
      </c>
      <c r="H13" s="663">
        <f t="shared" si="1"/>
        <v>1065168</v>
      </c>
    </row>
    <row r="14" spans="1:9" ht="20.100000000000001" customHeight="1">
      <c r="A14" s="660" t="s">
        <v>191</v>
      </c>
      <c r="B14" s="660" t="s">
        <v>125</v>
      </c>
      <c r="C14" s="661" t="s">
        <v>221</v>
      </c>
      <c r="D14" s="659">
        <v>1703</v>
      </c>
      <c r="E14" s="659">
        <v>103</v>
      </c>
      <c r="F14" s="662">
        <f t="shared" si="0"/>
        <v>1600</v>
      </c>
      <c r="G14" s="662">
        <f>+'EXHIBIT B'!B15</f>
        <v>81.209999999999994</v>
      </c>
      <c r="H14" s="663">
        <f t="shared" si="1"/>
        <v>129936</v>
      </c>
    </row>
    <row r="15" spans="1:9" ht="20.100000000000001" customHeight="1" thickBot="1">
      <c r="A15" s="665" t="s">
        <v>191</v>
      </c>
      <c r="B15" s="665" t="s">
        <v>126</v>
      </c>
      <c r="C15" s="666">
        <v>40160</v>
      </c>
      <c r="D15" s="667">
        <v>0</v>
      </c>
      <c r="E15" s="667">
        <v>0</v>
      </c>
      <c r="F15" s="668">
        <f t="shared" si="0"/>
        <v>0</v>
      </c>
      <c r="G15" s="668">
        <f>+'EXHIBIT B'!B15</f>
        <v>81.209999999999994</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344500</v>
      </c>
      <c r="E17" s="292">
        <f>SUM(E10:E15)</f>
        <v>67131</v>
      </c>
      <c r="F17" s="293">
        <f>SUM(F10:F15)</f>
        <v>277369</v>
      </c>
      <c r="G17" s="293"/>
      <c r="H17" s="294">
        <f>SUM(H10:H15)</f>
        <v>22800658</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406</v>
      </c>
      <c r="E19" s="671">
        <f>'EXHIBIT B'!C29</f>
        <v>275.37</v>
      </c>
      <c r="F19" s="1154">
        <f t="shared" ref="F19:F25" si="2">ROUND(+D19*E19,0)</f>
        <v>111800</v>
      </c>
      <c r="G19" s="296"/>
      <c r="H19" s="296"/>
    </row>
    <row r="20" spans="1:9" ht="20.100000000000001" customHeight="1">
      <c r="A20" s="611" t="s">
        <v>206</v>
      </c>
      <c r="B20" s="611" t="s">
        <v>123</v>
      </c>
      <c r="C20" s="672" t="s">
        <v>225</v>
      </c>
      <c r="D20" s="679">
        <v>2545</v>
      </c>
      <c r="E20" s="673">
        <f>+'EXHIBIT B'!C30</f>
        <v>243.78</v>
      </c>
      <c r="F20" s="674">
        <f t="shared" si="2"/>
        <v>620420</v>
      </c>
      <c r="G20" s="42"/>
      <c r="H20" s="42"/>
    </row>
    <row r="21" spans="1:9" ht="20.100000000000001" customHeight="1">
      <c r="A21" s="611" t="s">
        <v>206</v>
      </c>
      <c r="B21" s="611" t="s">
        <v>124</v>
      </c>
      <c r="C21" s="672" t="s">
        <v>226</v>
      </c>
      <c r="D21" s="679">
        <v>1297</v>
      </c>
      <c r="E21" s="673">
        <f>+'EXHIBIT B'!C30</f>
        <v>243.78</v>
      </c>
      <c r="F21" s="674">
        <f t="shared" si="2"/>
        <v>316183</v>
      </c>
      <c r="G21" s="42"/>
      <c r="H21" s="42"/>
    </row>
    <row r="22" spans="1:9" ht="20.100000000000001" customHeight="1">
      <c r="A22" s="611" t="s">
        <v>206</v>
      </c>
      <c r="B22" s="611" t="s">
        <v>74</v>
      </c>
      <c r="C22" s="672" t="s">
        <v>227</v>
      </c>
      <c r="D22" s="679">
        <v>260</v>
      </c>
      <c r="E22" s="673">
        <f>+'EXHIBIT B'!C31</f>
        <v>216</v>
      </c>
      <c r="F22" s="674">
        <f t="shared" si="2"/>
        <v>56160</v>
      </c>
      <c r="G22" s="42"/>
      <c r="H22" s="42"/>
    </row>
    <row r="23" spans="1:9" ht="20.100000000000001" customHeight="1">
      <c r="A23" s="611" t="s">
        <v>206</v>
      </c>
      <c r="B23" s="611" t="s">
        <v>125</v>
      </c>
      <c r="C23" s="672" t="s">
        <v>228</v>
      </c>
      <c r="D23" s="679">
        <v>79</v>
      </c>
      <c r="E23" s="673">
        <f>+'EXHIBIT B'!C30</f>
        <v>243.78</v>
      </c>
      <c r="F23" s="674">
        <f t="shared" si="2"/>
        <v>19259</v>
      </c>
      <c r="G23" s="42"/>
      <c r="H23" s="42"/>
    </row>
    <row r="24" spans="1:9" ht="20.100000000000001" customHeight="1">
      <c r="A24" s="1017" t="s">
        <v>206</v>
      </c>
      <c r="B24" s="1017" t="s">
        <v>721</v>
      </c>
      <c r="C24" s="1110">
        <v>40360</v>
      </c>
      <c r="D24" s="1111">
        <v>0</v>
      </c>
      <c r="E24" s="1112">
        <f>+'EXHIBIT B'!C30</f>
        <v>243.78</v>
      </c>
      <c r="F24" s="1113">
        <f t="shared" si="2"/>
        <v>0</v>
      </c>
      <c r="G24" s="42"/>
      <c r="H24" s="42"/>
    </row>
    <row r="25" spans="1:9" ht="20.100000000000001" customHeight="1" thickBot="1">
      <c r="A25" s="373" t="s">
        <v>206</v>
      </c>
      <c r="B25" s="373" t="s">
        <v>702</v>
      </c>
      <c r="C25" s="1108" t="s">
        <v>703</v>
      </c>
      <c r="D25" s="1109">
        <v>0</v>
      </c>
      <c r="E25" s="1112">
        <f>+'EXHIBIT B'!H32</f>
        <v>0</v>
      </c>
      <c r="F25" s="1113">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4587</v>
      </c>
      <c r="E27" s="677"/>
      <c r="F27" s="678">
        <f>SUM(F19:F25)</f>
        <v>1123822</v>
      </c>
      <c r="G27" s="300"/>
      <c r="H27" s="300"/>
    </row>
    <row r="28" spans="1:9" ht="20.100000000000001" customHeight="1" thickBot="1">
      <c r="A28" s="301" t="s">
        <v>229</v>
      </c>
      <c r="B28" s="301"/>
      <c r="C28" s="301"/>
      <c r="D28" s="301"/>
      <c r="E28" s="301"/>
      <c r="F28" s="302"/>
      <c r="G28" s="520"/>
      <c r="H28" s="303">
        <f>H17+F27</f>
        <v>23924480</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30</v>
      </c>
      <c r="H33" s="525">
        <f>ROUND(+F33*G33,0)</f>
        <v>0</v>
      </c>
    </row>
    <row r="34" spans="1:8" ht="20.100000000000001" customHeight="1">
      <c r="A34" s="611" t="s">
        <v>235</v>
      </c>
      <c r="B34" s="611" t="s">
        <v>238</v>
      </c>
      <c r="C34" s="672" t="s">
        <v>239</v>
      </c>
      <c r="D34" s="679">
        <v>4044</v>
      </c>
      <c r="E34" s="679">
        <v>0</v>
      </c>
      <c r="F34" s="673">
        <f>D34-E34</f>
        <v>4044</v>
      </c>
      <c r="G34" s="673">
        <f>'EXHIBIT B'!B20</f>
        <v>30</v>
      </c>
      <c r="H34" s="674">
        <f>ROUND(+F34*G34,0)</f>
        <v>121320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4044</v>
      </c>
      <c r="E37" s="306">
        <f>SUM(E33:E36)</f>
        <v>0</v>
      </c>
      <c r="F37" s="307">
        <f>D37-E37</f>
        <v>4044</v>
      </c>
      <c r="G37" s="307"/>
      <c r="H37" s="308">
        <f>SUM(H33:H36)</f>
        <v>121320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30</v>
      </c>
      <c r="F40" s="1152">
        <f>D40*E40</f>
        <v>0</v>
      </c>
    </row>
    <row r="41" spans="1:8" ht="20.100000000000001" customHeight="1">
      <c r="A41" s="611" t="s">
        <v>235</v>
      </c>
      <c r="B41" s="611" t="s">
        <v>238</v>
      </c>
      <c r="C41" s="672">
        <v>40390</v>
      </c>
      <c r="D41" s="679">
        <v>0</v>
      </c>
      <c r="E41" s="673">
        <f>'EXHIBIT B'!B36</f>
        <v>30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121320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24045800</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2" t="s">
        <v>695</v>
      </c>
      <c r="B51" s="1062"/>
      <c r="C51" s="1063"/>
      <c r="D51" s="1063"/>
      <c r="E51" s="1063"/>
      <c r="F51" s="1063"/>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790</v>
      </c>
      <c r="B55" s="679">
        <v>200000</v>
      </c>
      <c r="C55" s="1091">
        <v>1</v>
      </c>
      <c r="D55" s="1092"/>
      <c r="E55" s="934">
        <v>2</v>
      </c>
      <c r="F55" s="935"/>
    </row>
    <row r="56" spans="1:10" ht="24.95" customHeight="1">
      <c r="A56" s="685" t="s">
        <v>791</v>
      </c>
      <c r="B56" s="679">
        <v>792126</v>
      </c>
      <c r="C56" s="936">
        <v>1</v>
      </c>
      <c r="D56" s="937"/>
      <c r="E56" s="936">
        <v>8</v>
      </c>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992126</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792</v>
      </c>
      <c r="B64" s="1153">
        <v>56200</v>
      </c>
      <c r="C64" s="934">
        <v>3</v>
      </c>
      <c r="D64" s="935"/>
      <c r="E64" s="934">
        <v>1</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56200</v>
      </c>
      <c r="C70" s="944"/>
      <c r="D70" s="945"/>
      <c r="E70" s="944"/>
      <c r="F70" s="945"/>
    </row>
    <row r="71" spans="1:6" ht="24.95" customHeight="1" thickBot="1">
      <c r="A71" s="280" t="s">
        <v>254</v>
      </c>
      <c r="B71" s="281">
        <f>+B70+B61</f>
        <v>1048326</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topLeftCell="A1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Indian River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6" t="s">
        <v>206</v>
      </c>
      <c r="B27" s="571" t="s">
        <v>721</v>
      </c>
      <c r="C27" s="1117">
        <v>40360</v>
      </c>
      <c r="D27" s="1118">
        <v>0</v>
      </c>
      <c r="E27" s="1118">
        <v>0</v>
      </c>
    </row>
    <row r="28" spans="1:5" s="169" customFormat="1" ht="24.95" customHeight="1" thickBot="1">
      <c r="A28" s="1114" t="s">
        <v>206</v>
      </c>
      <c r="B28" s="1119" t="s">
        <v>702</v>
      </c>
      <c r="C28" s="410" t="s">
        <v>703</v>
      </c>
      <c r="D28" s="430">
        <v>0</v>
      </c>
      <c r="E28" s="1115">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32" zoomScale="70" zoomScaleNormal="70" zoomScaleSheetLayoutView="70" zoomScalePageLayoutView="70" workbookViewId="0">
      <selection activeCell="G264" sqref="G264"/>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Indian River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744</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5">
        <f>+'EXHIBIT C'!H10+'EXHIBIT C(2)'!E13</f>
        <v>3572467</v>
      </c>
    </row>
    <row r="13" spans="1:8" ht="20.100000000000001" customHeight="1">
      <c r="A13" s="478" t="s">
        <v>191</v>
      </c>
      <c r="B13" s="176"/>
      <c r="C13" s="169" t="s">
        <v>123</v>
      </c>
      <c r="D13" s="176"/>
      <c r="E13" s="176"/>
      <c r="F13" s="180" t="s">
        <v>218</v>
      </c>
      <c r="G13" s="1145">
        <f>+'EXHIBIT C'!H11+'EXHIBIT C(2)'!E14</f>
        <v>12356508</v>
      </c>
    </row>
    <row r="14" spans="1:8" ht="20.100000000000001" customHeight="1">
      <c r="A14" s="478" t="s">
        <v>191</v>
      </c>
      <c r="B14" s="176"/>
      <c r="C14" s="176" t="s">
        <v>124</v>
      </c>
      <c r="D14" s="176"/>
      <c r="E14" s="176"/>
      <c r="F14" s="180" t="s">
        <v>219</v>
      </c>
      <c r="G14" s="1146">
        <f>+'EXHIBIT C'!H12+'EXHIBIT C(2)'!E15</f>
        <v>5676579</v>
      </c>
    </row>
    <row r="15" spans="1:8" ht="20.100000000000001" customHeight="1">
      <c r="A15" s="478" t="s">
        <v>191</v>
      </c>
      <c r="B15" s="176"/>
      <c r="C15" s="181" t="s">
        <v>271</v>
      </c>
      <c r="D15" s="176"/>
      <c r="E15" s="176"/>
      <c r="F15" s="180" t="s">
        <v>220</v>
      </c>
      <c r="G15" s="1146">
        <f>+'EXHIBIT C'!H13+'EXHIBIT C(2)'!E16</f>
        <v>1065168</v>
      </c>
    </row>
    <row r="16" spans="1:8" ht="20.100000000000001" customHeight="1">
      <c r="A16" s="478" t="s">
        <v>191</v>
      </c>
      <c r="B16" s="176"/>
      <c r="C16" s="181" t="s">
        <v>272</v>
      </c>
      <c r="D16" s="176"/>
      <c r="E16" s="176"/>
      <c r="F16" s="180" t="s">
        <v>221</v>
      </c>
      <c r="G16" s="182">
        <f>+'EXHIBIT C'!H14+'EXHIBIT C(2)'!E17</f>
        <v>129936</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22800658</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7">
        <f>+'EXHIBIT C'!F19+'EXHIBIT C(2)'!E22</f>
        <v>111800</v>
      </c>
    </row>
    <row r="22" spans="1:7" ht="20.100000000000001" customHeight="1">
      <c r="A22" s="478" t="s">
        <v>206</v>
      </c>
      <c r="B22" s="176"/>
      <c r="C22" s="169" t="s">
        <v>123</v>
      </c>
      <c r="D22" s="176"/>
      <c r="E22" s="176"/>
      <c r="F22" s="180" t="s">
        <v>225</v>
      </c>
      <c r="G22" s="1147">
        <f>+'EXHIBIT C'!F20+'EXHIBIT C(2)'!E23</f>
        <v>620420</v>
      </c>
    </row>
    <row r="23" spans="1:7" ht="20.100000000000001" customHeight="1">
      <c r="A23" s="478" t="s">
        <v>206</v>
      </c>
      <c r="B23" s="176"/>
      <c r="C23" s="176" t="s">
        <v>124</v>
      </c>
      <c r="D23" s="176"/>
      <c r="E23" s="176"/>
      <c r="F23" s="180" t="s">
        <v>226</v>
      </c>
      <c r="G23" s="1148">
        <f>+'EXHIBIT C'!F21+'EXHIBIT C(2)'!E24</f>
        <v>316183</v>
      </c>
    </row>
    <row r="24" spans="1:7" ht="20.100000000000001" customHeight="1">
      <c r="A24" s="478" t="s">
        <v>206</v>
      </c>
      <c r="B24" s="176"/>
      <c r="C24" s="181" t="s">
        <v>271</v>
      </c>
      <c r="D24" s="176"/>
      <c r="E24" s="176"/>
      <c r="F24" s="180" t="s">
        <v>227</v>
      </c>
      <c r="G24" s="1148">
        <f>+'EXHIBIT C'!F22+'EXHIBIT C(2)'!E25</f>
        <v>56160</v>
      </c>
    </row>
    <row r="25" spans="1:7" ht="20.100000000000001" customHeight="1">
      <c r="A25" s="478" t="s">
        <v>206</v>
      </c>
      <c r="B25" s="176"/>
      <c r="C25" s="181" t="s">
        <v>272</v>
      </c>
      <c r="D25" s="176"/>
      <c r="E25" s="176"/>
      <c r="F25" s="180" t="s">
        <v>228</v>
      </c>
      <c r="G25" s="1148">
        <f>+'EXHIBIT C'!F23+'EXHIBIT C(2)'!E26</f>
        <v>19259</v>
      </c>
    </row>
    <row r="26" spans="1:7" ht="20.100000000000001" customHeight="1">
      <c r="A26" s="478" t="s">
        <v>206</v>
      </c>
      <c r="B26" s="176"/>
      <c r="C26" s="169" t="s">
        <v>721</v>
      </c>
      <c r="D26" s="176"/>
      <c r="E26" s="176"/>
      <c r="F26" s="179">
        <v>40360</v>
      </c>
      <c r="G26" s="1148">
        <f>+'EXHIBIT C'!F24+'EXHIBIT C(2)'!E27</f>
        <v>0</v>
      </c>
    </row>
    <row r="27" spans="1:7" ht="20.100000000000001" customHeight="1">
      <c r="A27" s="478" t="s">
        <v>206</v>
      </c>
      <c r="B27" s="176"/>
      <c r="C27" s="169" t="s">
        <v>702</v>
      </c>
      <c r="D27" s="176"/>
      <c r="E27" s="176"/>
      <c r="F27" s="179" t="s">
        <v>703</v>
      </c>
      <c r="G27" s="1148">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1123822</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121320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121320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8">
        <f>'EXHIBIT C'!F40</f>
        <v>0</v>
      </c>
    </row>
    <row r="39" spans="1:7" ht="20.100000000000001" customHeight="1">
      <c r="A39" s="478" t="s">
        <v>278</v>
      </c>
      <c r="B39" s="176"/>
      <c r="C39" s="821" t="s">
        <v>238</v>
      </c>
      <c r="D39" s="821"/>
      <c r="E39" s="821"/>
      <c r="F39" s="180" t="s">
        <v>244</v>
      </c>
      <c r="G39" s="1148">
        <f>'EXHIBIT C'!F41</f>
        <v>0</v>
      </c>
    </row>
    <row r="40" spans="1:7" ht="20.100000000000001" customHeight="1">
      <c r="A40" s="478" t="s">
        <v>279</v>
      </c>
      <c r="B40" s="176"/>
      <c r="C40" s="176" t="s">
        <v>236</v>
      </c>
      <c r="D40" s="176"/>
      <c r="E40" s="176"/>
      <c r="F40" s="180" t="s">
        <v>243</v>
      </c>
      <c r="G40" s="1148">
        <f>'EXHIBIT C'!F42</f>
        <v>0</v>
      </c>
    </row>
    <row r="41" spans="1:7" ht="20.100000000000001" customHeight="1">
      <c r="A41" s="478" t="s">
        <v>279</v>
      </c>
      <c r="B41" s="176"/>
      <c r="C41" s="821" t="s">
        <v>238</v>
      </c>
      <c r="D41" s="821"/>
      <c r="E41" s="821"/>
      <c r="F41" s="180" t="s">
        <v>244</v>
      </c>
      <c r="G41" s="1148">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24045800</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49">
        <v>0</v>
      </c>
    </row>
    <row r="48" spans="1:7" ht="20.100000000000001" customHeight="1">
      <c r="A48" s="478" t="s">
        <v>284</v>
      </c>
      <c r="B48" s="187"/>
      <c r="C48" s="187"/>
      <c r="D48" s="187"/>
      <c r="E48" s="187"/>
      <c r="F48" s="188" t="s">
        <v>285</v>
      </c>
      <c r="G48" s="1149">
        <v>14736</v>
      </c>
    </row>
    <row r="49" spans="1:7" ht="20.100000000000001" customHeight="1">
      <c r="A49" s="478" t="s">
        <v>286</v>
      </c>
      <c r="C49" s="187"/>
      <c r="D49" s="187"/>
      <c r="E49" s="187"/>
      <c r="F49" s="188" t="s">
        <v>287</v>
      </c>
      <c r="G49" s="1149">
        <v>0</v>
      </c>
    </row>
    <row r="50" spans="1:7" ht="20.100000000000001" customHeight="1">
      <c r="A50" s="478" t="s">
        <v>288</v>
      </c>
      <c r="B50" s="176"/>
      <c r="C50" s="176"/>
      <c r="D50" s="176"/>
      <c r="E50" s="176"/>
      <c r="F50" s="180" t="s">
        <v>289</v>
      </c>
      <c r="G50" s="1149">
        <v>0</v>
      </c>
    </row>
    <row r="51" spans="1:7" ht="20.100000000000001" customHeight="1">
      <c r="A51" s="478" t="s">
        <v>711</v>
      </c>
      <c r="B51" s="176"/>
      <c r="C51" s="176"/>
      <c r="D51" s="176"/>
      <c r="E51" s="176"/>
      <c r="F51" s="195">
        <v>40280</v>
      </c>
      <c r="G51" s="1149">
        <v>1230115</v>
      </c>
    </row>
    <row r="52" spans="1:7" ht="20.100000000000001" customHeight="1">
      <c r="A52" s="478" t="s">
        <v>290</v>
      </c>
      <c r="B52" s="176"/>
      <c r="C52" s="176"/>
      <c r="D52" s="176"/>
      <c r="E52" s="176"/>
      <c r="F52" s="180" t="s">
        <v>291</v>
      </c>
      <c r="G52" s="1149">
        <v>1521502</v>
      </c>
    </row>
    <row r="53" spans="1:7" ht="20.100000000000001" customHeight="1">
      <c r="A53" s="478" t="s">
        <v>292</v>
      </c>
      <c r="B53" s="176"/>
      <c r="C53" s="176"/>
      <c r="D53" s="176"/>
      <c r="E53" s="176"/>
      <c r="F53" s="179">
        <v>40450</v>
      </c>
      <c r="G53" s="1149">
        <v>1310656</v>
      </c>
    </row>
    <row r="54" spans="1:7" ht="20.100000000000001" customHeight="1">
      <c r="A54" s="478" t="s">
        <v>293</v>
      </c>
      <c r="B54" s="176"/>
      <c r="C54" s="176"/>
      <c r="D54" s="176"/>
      <c r="E54" s="176"/>
      <c r="F54" s="180" t="s">
        <v>294</v>
      </c>
      <c r="G54" s="1149">
        <v>306600</v>
      </c>
    </row>
    <row r="55" spans="1:7" ht="20.100000000000001" customHeight="1">
      <c r="A55" s="478" t="s">
        <v>295</v>
      </c>
      <c r="B55" s="176"/>
      <c r="C55" s="176"/>
      <c r="D55" s="176"/>
      <c r="E55" s="176"/>
      <c r="F55" s="188" t="s">
        <v>296</v>
      </c>
      <c r="G55" s="1149">
        <v>0</v>
      </c>
    </row>
    <row r="56" spans="1:7" ht="20.100000000000001" customHeight="1">
      <c r="A56" s="478" t="s">
        <v>297</v>
      </c>
      <c r="B56" s="176"/>
      <c r="C56" s="176"/>
      <c r="D56" s="176"/>
      <c r="E56" s="176"/>
      <c r="F56" s="180" t="s">
        <v>298</v>
      </c>
      <c r="G56" s="1149">
        <v>0</v>
      </c>
    </row>
    <row r="57" spans="1:7" ht="20.100000000000001" customHeight="1">
      <c r="A57" s="478" t="s">
        <v>299</v>
      </c>
      <c r="B57" s="176"/>
      <c r="C57" s="176"/>
      <c r="D57" s="176"/>
      <c r="E57" s="176"/>
      <c r="F57" s="188" t="s">
        <v>300</v>
      </c>
      <c r="G57" s="1149">
        <v>0</v>
      </c>
    </row>
    <row r="58" spans="1:7" ht="20.100000000000001" customHeight="1">
      <c r="A58" s="478" t="s">
        <v>301</v>
      </c>
      <c r="B58" s="176"/>
      <c r="C58" s="176"/>
      <c r="D58" s="176"/>
      <c r="E58" s="176"/>
      <c r="F58" s="180" t="s">
        <v>302</v>
      </c>
      <c r="G58" s="1149">
        <v>0</v>
      </c>
    </row>
    <row r="59" spans="1:7" ht="20.100000000000001" customHeight="1">
      <c r="A59" s="478" t="s">
        <v>303</v>
      </c>
      <c r="B59" s="176"/>
      <c r="C59" s="176"/>
      <c r="D59" s="176"/>
      <c r="E59" s="176"/>
      <c r="F59" s="180" t="s">
        <v>304</v>
      </c>
      <c r="G59" s="1149">
        <v>0</v>
      </c>
    </row>
    <row r="60" spans="1:7" ht="20.100000000000001" customHeight="1">
      <c r="A60" s="478" t="s">
        <v>305</v>
      </c>
      <c r="B60" s="176"/>
      <c r="C60" s="176"/>
      <c r="D60" s="176"/>
      <c r="E60" s="176"/>
      <c r="F60" s="189" t="s">
        <v>306</v>
      </c>
      <c r="G60" s="1149">
        <v>1027411</v>
      </c>
    </row>
    <row r="61" spans="1:7" ht="20.100000000000001" customHeight="1">
      <c r="A61" s="478" t="s">
        <v>307</v>
      </c>
      <c r="B61" s="176"/>
      <c r="C61" s="176"/>
      <c r="D61" s="176"/>
      <c r="E61" s="176"/>
      <c r="F61" s="180" t="s">
        <v>308</v>
      </c>
      <c r="G61" s="1149">
        <v>175000</v>
      </c>
    </row>
    <row r="62" spans="1:7" ht="20.100000000000001" customHeight="1">
      <c r="A62" s="478" t="s">
        <v>309</v>
      </c>
      <c r="B62" s="176"/>
      <c r="C62" s="176"/>
      <c r="D62" s="176"/>
      <c r="E62" s="176"/>
      <c r="F62" s="188" t="s">
        <v>310</v>
      </c>
      <c r="G62" s="1149">
        <v>0</v>
      </c>
    </row>
    <row r="63" spans="1:7" ht="20.100000000000001" customHeight="1">
      <c r="A63" s="478" t="s">
        <v>311</v>
      </c>
      <c r="B63" s="176"/>
      <c r="C63" s="176"/>
      <c r="D63" s="176"/>
      <c r="E63" s="176"/>
      <c r="F63" s="188" t="s">
        <v>312</v>
      </c>
      <c r="G63" s="1149">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29631820</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49">
        <v>0</v>
      </c>
    </row>
    <row r="70" spans="1:7" ht="20.100000000000001" customHeight="1">
      <c r="A70" s="478" t="s">
        <v>317</v>
      </c>
      <c r="B70" s="176"/>
      <c r="C70" s="176"/>
      <c r="D70" s="176"/>
      <c r="E70" s="176"/>
      <c r="F70" s="180" t="s">
        <v>318</v>
      </c>
      <c r="G70" s="1149">
        <v>0</v>
      </c>
    </row>
    <row r="71" spans="1:7" ht="20.100000000000001" customHeight="1">
      <c r="A71" s="478" t="s">
        <v>319</v>
      </c>
      <c r="B71" s="176"/>
      <c r="C71" s="176"/>
      <c r="D71" s="176"/>
      <c r="E71" s="176"/>
      <c r="F71" s="180" t="s">
        <v>320</v>
      </c>
      <c r="G71" s="1149">
        <v>3734</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3734</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0">
        <f>'CHECK SHEET'!D84</f>
        <v>52058669</v>
      </c>
    </row>
    <row r="78" spans="1:7" ht="20.100000000000001" customHeight="1">
      <c r="A78" s="478" t="s">
        <v>679</v>
      </c>
      <c r="B78" s="176"/>
      <c r="C78" s="176"/>
      <c r="D78" s="176"/>
      <c r="E78" s="176"/>
      <c r="F78" s="179">
        <v>42130</v>
      </c>
      <c r="G78" s="1151">
        <v>2275902</v>
      </c>
    </row>
    <row r="79" spans="1:7" ht="20.100000000000001" customHeight="1">
      <c r="A79" s="480" t="s">
        <v>325</v>
      </c>
      <c r="B79" s="481"/>
      <c r="C79" s="481"/>
      <c r="D79" s="481"/>
      <c r="E79" s="481"/>
      <c r="F79" s="191" t="s">
        <v>326</v>
      </c>
      <c r="G79" s="1149">
        <v>1170072</v>
      </c>
    </row>
    <row r="80" spans="1:7" ht="20.100000000000001" customHeight="1">
      <c r="A80" s="478" t="s">
        <v>327</v>
      </c>
      <c r="B80" s="176"/>
      <c r="C80" s="176"/>
      <c r="D80" s="176"/>
      <c r="E80" s="176"/>
      <c r="F80" s="180" t="s">
        <v>328</v>
      </c>
      <c r="G80" s="1151">
        <v>5000</v>
      </c>
    </row>
    <row r="81" spans="1:10" ht="20.100000000000001" customHeight="1">
      <c r="A81" s="478" t="s">
        <v>694</v>
      </c>
      <c r="B81" s="176"/>
      <c r="C81" s="176"/>
      <c r="D81" s="176"/>
      <c r="E81" s="176"/>
      <c r="F81" s="180" t="s">
        <v>329</v>
      </c>
      <c r="G81" s="1151">
        <v>500000</v>
      </c>
    </row>
    <row r="82" spans="1:10" ht="20.100000000000001" customHeight="1">
      <c r="A82" s="478" t="s">
        <v>330</v>
      </c>
      <c r="B82" s="176"/>
      <c r="C82" s="176"/>
      <c r="D82" s="176"/>
      <c r="E82" s="176"/>
      <c r="F82" s="180" t="s">
        <v>331</v>
      </c>
      <c r="G82" s="1150">
        <f>'CHECK SHEET'!D86</f>
        <v>9889375</v>
      </c>
    </row>
    <row r="83" spans="1:10" ht="20.100000000000001" customHeight="1">
      <c r="A83" s="482" t="s">
        <v>332</v>
      </c>
      <c r="B83" s="483"/>
      <c r="C83" s="483"/>
      <c r="D83" s="483"/>
      <c r="E83" s="483"/>
      <c r="F83" s="190" t="s">
        <v>333</v>
      </c>
      <c r="G83" s="1151">
        <v>0</v>
      </c>
    </row>
    <row r="84" spans="1:10" ht="20.100000000000001" customHeight="1">
      <c r="A84" s="478" t="s">
        <v>334</v>
      </c>
      <c r="B84" s="176"/>
      <c r="C84" s="176"/>
      <c r="D84" s="176"/>
      <c r="E84" s="176"/>
      <c r="F84" s="180" t="s">
        <v>335</v>
      </c>
      <c r="G84" s="1151">
        <v>135397</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66034415</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35831</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1">
        <v>272730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308561</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713</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714</v>
      </c>
      <c r="B111" s="176"/>
      <c r="C111" s="176"/>
      <c r="D111" s="176"/>
      <c r="E111" s="176"/>
      <c r="F111" s="180" t="s">
        <v>356</v>
      </c>
      <c r="G111" s="432">
        <v>250000</v>
      </c>
    </row>
    <row r="112" spans="1:7" ht="20.100000000000001" customHeight="1">
      <c r="A112" s="478" t="s">
        <v>357</v>
      </c>
      <c r="B112" s="176"/>
      <c r="C112" s="176"/>
      <c r="D112" s="176"/>
      <c r="E112" s="176"/>
      <c r="F112" s="180" t="s">
        <v>358</v>
      </c>
      <c r="G112" s="432">
        <v>1000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251000</v>
      </c>
    </row>
    <row r="117" spans="1:7" ht="20.100000000000001" customHeight="1">
      <c r="A117" s="478"/>
      <c r="B117" s="176"/>
      <c r="C117" s="176"/>
      <c r="D117" s="176"/>
      <c r="E117" s="176"/>
      <c r="F117" s="484"/>
      <c r="G117" s="485"/>
    </row>
    <row r="118" spans="1:7" ht="20.100000000000001" customHeight="1">
      <c r="A118" s="707" t="s">
        <v>715</v>
      </c>
      <c r="B118" s="547"/>
      <c r="C118" s="547"/>
      <c r="D118" s="547"/>
      <c r="E118" s="547"/>
      <c r="F118" s="548" t="s">
        <v>364</v>
      </c>
      <c r="G118" s="1142">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1000000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5000</v>
      </c>
    </row>
    <row r="127" spans="1:7" ht="20.100000000000001" customHeight="1">
      <c r="A127" s="478" t="s">
        <v>716</v>
      </c>
      <c r="B127" s="176"/>
      <c r="C127" s="176"/>
      <c r="D127" s="176"/>
      <c r="E127" s="176"/>
      <c r="F127" s="180" t="s">
        <v>373</v>
      </c>
      <c r="G127" s="432">
        <v>1280000</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2285000</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3" t="s">
        <v>377</v>
      </c>
      <c r="G133" s="432">
        <v>0</v>
      </c>
    </row>
    <row r="134" spans="1:7" ht="20.100000000000001" customHeight="1">
      <c r="A134" s="478" t="s">
        <v>681</v>
      </c>
      <c r="B134" s="176"/>
      <c r="C134" s="176"/>
      <c r="D134" s="487"/>
      <c r="E134" s="187"/>
      <c r="F134" s="1123">
        <v>49200</v>
      </c>
      <c r="G134" s="432">
        <v>56200</v>
      </c>
    </row>
    <row r="135" spans="1:7" ht="20.100000000000001" customHeight="1">
      <c r="A135" s="478" t="s">
        <v>717</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674</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56200</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98570730</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2124164</v>
      </c>
    </row>
    <row r="148" spans="1:7" ht="20.100000000000001" customHeight="1">
      <c r="A148" s="478" t="s">
        <v>389</v>
      </c>
      <c r="F148" s="180" t="s">
        <v>390</v>
      </c>
      <c r="G148" s="434">
        <v>2209569</v>
      </c>
    </row>
    <row r="149" spans="1:7" ht="20.100000000000001" customHeight="1">
      <c r="A149" s="478" t="s">
        <v>391</v>
      </c>
      <c r="F149" s="180" t="s">
        <v>392</v>
      </c>
      <c r="G149" s="434">
        <v>2749601</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20116051</v>
      </c>
    </row>
    <row r="153" spans="1:7" ht="20.100000000000001" customHeight="1">
      <c r="A153" s="478" t="s">
        <v>399</v>
      </c>
      <c r="B153" s="176"/>
      <c r="C153" s="176"/>
      <c r="D153" s="176"/>
      <c r="E153" s="176"/>
      <c r="F153" s="180" t="s">
        <v>400</v>
      </c>
      <c r="G153" s="434">
        <v>1051000</v>
      </c>
    </row>
    <row r="154" spans="1:7" ht="20.100000000000001" customHeight="1">
      <c r="A154" s="478" t="s">
        <v>401</v>
      </c>
      <c r="B154" s="176"/>
      <c r="C154" s="176"/>
      <c r="D154" s="176"/>
      <c r="E154" s="176"/>
      <c r="F154" s="180" t="s">
        <v>402</v>
      </c>
      <c r="G154" s="434">
        <v>0</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8076032</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749386</v>
      </c>
    </row>
    <row r="166" spans="1:7" ht="20.100000000000001" customHeight="1">
      <c r="A166" s="478" t="s">
        <v>424</v>
      </c>
      <c r="B166" s="176"/>
      <c r="C166" s="176"/>
      <c r="D166" s="176"/>
      <c r="E166" s="176"/>
      <c r="F166" s="180" t="s">
        <v>425</v>
      </c>
      <c r="G166" s="434">
        <v>22165</v>
      </c>
    </row>
    <row r="167" spans="1:7" ht="20.100000000000001" customHeight="1">
      <c r="A167" s="478" t="s">
        <v>426</v>
      </c>
      <c r="B167" s="176"/>
      <c r="C167" s="176"/>
      <c r="D167" s="176"/>
      <c r="E167" s="176"/>
      <c r="F167" s="180" t="s">
        <v>427</v>
      </c>
      <c r="G167" s="434">
        <v>13856117</v>
      </c>
    </row>
    <row r="168" spans="1:7" ht="20.100000000000001" customHeight="1">
      <c r="A168" s="478" t="s">
        <v>428</v>
      </c>
      <c r="B168" s="176"/>
      <c r="C168" s="176"/>
      <c r="D168" s="176"/>
      <c r="E168" s="176"/>
      <c r="F168" s="180" t="s">
        <v>429</v>
      </c>
      <c r="G168" s="434">
        <v>0</v>
      </c>
    </row>
    <row r="169" spans="1:7" ht="20.100000000000001" customHeight="1">
      <c r="A169" s="478" t="s">
        <v>430</v>
      </c>
      <c r="B169" s="176"/>
      <c r="C169" s="176"/>
      <c r="D169" s="176"/>
      <c r="E169" s="176"/>
      <c r="F169" s="180" t="s">
        <v>431</v>
      </c>
      <c r="G169" s="434">
        <v>1755707</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3920484</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0</v>
      </c>
    </row>
    <row r="177" spans="1:7" ht="20.100000000000001" customHeight="1">
      <c r="A177" s="486" t="s">
        <v>443</v>
      </c>
      <c r="F177" s="195" t="s">
        <v>444</v>
      </c>
      <c r="G177" s="434">
        <v>130913</v>
      </c>
    </row>
    <row r="178" spans="1:7" ht="20.100000000000001" customHeight="1">
      <c r="A178" s="478" t="s">
        <v>445</v>
      </c>
      <c r="B178" s="176"/>
      <c r="C178" s="176"/>
      <c r="D178" s="176"/>
      <c r="E178" s="176"/>
      <c r="F178" s="180" t="s">
        <v>446</v>
      </c>
      <c r="G178" s="434">
        <v>1566950</v>
      </c>
    </row>
    <row r="179" spans="1:7" ht="20.100000000000001" customHeight="1">
      <c r="A179" s="478" t="s">
        <v>447</v>
      </c>
      <c r="B179" s="176"/>
      <c r="C179" s="176"/>
      <c r="D179" s="176"/>
      <c r="E179" s="176"/>
      <c r="F179" s="180" t="s">
        <v>448</v>
      </c>
      <c r="G179" s="434">
        <v>94554</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98809</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v>4168337</v>
      </c>
    </row>
    <row r="185" spans="1:7" ht="20.100000000000001" customHeight="1">
      <c r="A185" s="478" t="s">
        <v>459</v>
      </c>
      <c r="B185" s="176"/>
      <c r="C185" s="176"/>
      <c r="D185" s="176"/>
      <c r="E185" s="176"/>
      <c r="F185" s="180" t="s">
        <v>460</v>
      </c>
      <c r="G185" s="434">
        <v>7817225</v>
      </c>
    </row>
    <row r="186" spans="1:7" ht="20.100000000000001" customHeight="1">
      <c r="A186" s="478" t="s">
        <v>461</v>
      </c>
      <c r="B186" s="176"/>
      <c r="C186" s="176"/>
      <c r="D186" s="176"/>
      <c r="E186" s="176"/>
      <c r="F186" s="180" t="s">
        <v>462</v>
      </c>
      <c r="G186" s="434">
        <v>1200000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12584766</v>
      </c>
    </row>
    <row r="191" spans="1:7" ht="20.100000000000001" customHeight="1">
      <c r="A191" s="478" t="s">
        <v>718</v>
      </c>
      <c r="B191" s="176"/>
      <c r="C191" s="176"/>
      <c r="D191" s="176"/>
      <c r="E191" s="176"/>
      <c r="F191" s="180" t="s">
        <v>471</v>
      </c>
      <c r="G191" s="434">
        <v>0</v>
      </c>
    </row>
    <row r="192" spans="1:7" ht="20.100000000000001" customHeight="1">
      <c r="A192" s="478" t="s">
        <v>472</v>
      </c>
      <c r="B192" s="176"/>
      <c r="C192" s="176"/>
      <c r="D192" s="176"/>
      <c r="E192" s="176"/>
      <c r="F192" s="180" t="s">
        <v>473</v>
      </c>
      <c r="G192" s="434">
        <v>200000</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84491830</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497255</v>
      </c>
    </row>
    <row r="199" spans="1:7" ht="20.100000000000001" customHeight="1">
      <c r="A199" s="478" t="s">
        <v>478</v>
      </c>
      <c r="B199" s="176"/>
      <c r="C199" s="176"/>
      <c r="D199" s="176"/>
      <c r="E199" s="176"/>
      <c r="F199" s="180" t="s">
        <v>479</v>
      </c>
      <c r="G199" s="434">
        <v>116940</v>
      </c>
    </row>
    <row r="200" spans="1:7" ht="20.100000000000001" customHeight="1">
      <c r="A200" s="478" t="s">
        <v>480</v>
      </c>
      <c r="B200" s="176"/>
      <c r="C200" s="176"/>
      <c r="D200" s="176"/>
      <c r="E200" s="176"/>
      <c r="F200" s="180" t="s">
        <v>481</v>
      </c>
      <c r="G200" s="434">
        <v>773500</v>
      </c>
    </row>
    <row r="201" spans="1:7" ht="20.100000000000001" customHeight="1">
      <c r="A201" s="478" t="s">
        <v>482</v>
      </c>
      <c r="B201" s="176"/>
      <c r="C201" s="176"/>
      <c r="D201" s="176"/>
      <c r="E201" s="176"/>
      <c r="F201" s="180" t="s">
        <v>483</v>
      </c>
      <c r="G201" s="434">
        <v>181585</v>
      </c>
    </row>
    <row r="202" spans="1:7" ht="20.100000000000001" customHeight="1">
      <c r="A202" s="478" t="s">
        <v>484</v>
      </c>
      <c r="B202" s="176"/>
      <c r="C202" s="176"/>
      <c r="D202" s="176"/>
      <c r="E202" s="176"/>
      <c r="F202" s="180" t="s">
        <v>485</v>
      </c>
      <c r="G202" s="434">
        <v>1017831</v>
      </c>
    </row>
    <row r="203" spans="1:7" ht="20.100000000000001" customHeight="1">
      <c r="A203" s="478" t="s">
        <v>719</v>
      </c>
      <c r="B203" s="176"/>
      <c r="C203" s="176"/>
      <c r="D203" s="176"/>
      <c r="E203" s="176"/>
      <c r="F203" s="180" t="s">
        <v>487</v>
      </c>
      <c r="G203" s="434">
        <v>84158</v>
      </c>
    </row>
    <row r="204" spans="1:7" ht="20.100000000000001" customHeight="1">
      <c r="A204" s="478" t="s">
        <v>673</v>
      </c>
      <c r="B204" s="176"/>
      <c r="C204" s="176"/>
      <c r="D204" s="176"/>
      <c r="E204" s="176"/>
      <c r="F204" s="970">
        <v>63100</v>
      </c>
      <c r="G204" s="434">
        <v>0</v>
      </c>
    </row>
    <row r="205" spans="1:7" ht="20.100000000000001" customHeight="1">
      <c r="A205" s="478" t="s">
        <v>488</v>
      </c>
      <c r="B205" s="176"/>
      <c r="C205" s="176"/>
      <c r="D205" s="176"/>
      <c r="E205" s="176"/>
      <c r="F205" s="180" t="s">
        <v>489</v>
      </c>
      <c r="G205" s="434">
        <v>3024982</v>
      </c>
    </row>
    <row r="206" spans="1:7" ht="20.100000000000001" customHeight="1">
      <c r="A206" s="478" t="s">
        <v>490</v>
      </c>
      <c r="B206" s="176"/>
      <c r="C206" s="176"/>
      <c r="D206" s="176"/>
      <c r="E206" s="176"/>
      <c r="F206" s="180" t="s">
        <v>491</v>
      </c>
      <c r="G206" s="434">
        <v>4363561</v>
      </c>
    </row>
    <row r="207" spans="1:7" ht="20.100000000000001" customHeight="1">
      <c r="A207" s="478" t="s">
        <v>492</v>
      </c>
      <c r="B207" s="176"/>
      <c r="C207" s="176"/>
      <c r="D207" s="176"/>
      <c r="E207" s="176"/>
      <c r="F207" s="180" t="s">
        <v>493</v>
      </c>
      <c r="G207" s="434">
        <v>3187948</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1398190</v>
      </c>
    </row>
    <row r="211" spans="1:9" ht="20.100000000000001" customHeight="1">
      <c r="A211" s="478" t="s">
        <v>499</v>
      </c>
      <c r="B211" s="176"/>
      <c r="C211" s="176"/>
      <c r="D211" s="176"/>
      <c r="E211" s="176"/>
      <c r="F211" s="180" t="s">
        <v>500</v>
      </c>
      <c r="G211" s="434">
        <v>861263</v>
      </c>
    </row>
    <row r="212" spans="1:9" ht="20.100000000000001" customHeight="1">
      <c r="A212" s="478" t="s">
        <v>501</v>
      </c>
      <c r="F212" s="195" t="s">
        <v>502</v>
      </c>
      <c r="G212" s="434">
        <v>1517635</v>
      </c>
    </row>
    <row r="213" spans="1:9" ht="20.100000000000001" customHeight="1">
      <c r="A213" s="478" t="s">
        <v>503</v>
      </c>
      <c r="B213" s="176"/>
      <c r="C213" s="176"/>
      <c r="D213" s="176"/>
      <c r="E213" s="176"/>
      <c r="F213" s="180" t="s">
        <v>504</v>
      </c>
      <c r="G213" s="434">
        <v>873720</v>
      </c>
    </row>
    <row r="214" spans="1:9" ht="20.100000000000001" customHeight="1">
      <c r="A214" s="478" t="s">
        <v>505</v>
      </c>
      <c r="B214" s="176"/>
      <c r="C214" s="176"/>
      <c r="D214" s="176"/>
      <c r="E214" s="176"/>
      <c r="F214" s="180" t="s">
        <v>506</v>
      </c>
      <c r="G214" s="434">
        <v>517625</v>
      </c>
    </row>
    <row r="215" spans="1:9" ht="20.100000000000001" customHeight="1">
      <c r="A215" s="478" t="s">
        <v>507</v>
      </c>
      <c r="B215" s="176"/>
      <c r="C215" s="176"/>
      <c r="D215" s="176"/>
      <c r="E215" s="176"/>
      <c r="F215" s="180" t="s">
        <v>508</v>
      </c>
      <c r="G215" s="434">
        <v>102419</v>
      </c>
    </row>
    <row r="216" spans="1:9" ht="20.100000000000001" customHeight="1">
      <c r="A216" s="478" t="s">
        <v>720</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410000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682</v>
      </c>
      <c r="B222" s="176"/>
      <c r="C222" s="176"/>
      <c r="D222" s="201"/>
      <c r="E222" s="176"/>
      <c r="F222" s="1055">
        <v>69100</v>
      </c>
      <c r="G222" s="434">
        <v>792126</v>
      </c>
    </row>
    <row r="223" spans="1:9" ht="20.100000000000001" customHeight="1">
      <c r="A223" s="489" t="s">
        <v>683</v>
      </c>
      <c r="B223" s="202"/>
      <c r="C223" s="202"/>
      <c r="D223" s="203"/>
      <c r="E223" s="202"/>
      <c r="F223" s="1054">
        <v>69200</v>
      </c>
      <c r="G223" s="434">
        <v>200000</v>
      </c>
    </row>
    <row r="224" spans="1:9" ht="20.100000000000001" customHeight="1">
      <c r="A224" s="478" t="s">
        <v>520</v>
      </c>
      <c r="B224" s="176"/>
      <c r="C224" s="176"/>
      <c r="D224" s="176"/>
      <c r="E224" s="176"/>
      <c r="F224" s="180" t="s">
        <v>521</v>
      </c>
      <c r="G224" s="434">
        <v>318300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100000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20339038</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0</v>
      </c>
    </row>
    <row r="233" spans="1:7" ht="20.100000000000001" customHeight="1">
      <c r="A233" s="478" t="s">
        <v>529</v>
      </c>
      <c r="B233" s="176"/>
      <c r="C233" s="176"/>
      <c r="D233" s="176"/>
      <c r="E233" s="176"/>
      <c r="F233" s="180" t="s">
        <v>530</v>
      </c>
      <c r="G233" s="434">
        <v>75875</v>
      </c>
    </row>
    <row r="234" spans="1:7" ht="20.100000000000001" customHeight="1">
      <c r="A234" s="478" t="s">
        <v>531</v>
      </c>
      <c r="B234" s="176"/>
      <c r="C234" s="176"/>
      <c r="D234" s="176"/>
      <c r="E234" s="176"/>
      <c r="F234" s="180" t="s">
        <v>532</v>
      </c>
      <c r="G234" s="434">
        <v>180219</v>
      </c>
    </row>
    <row r="235" spans="1:7" ht="20.100000000000001" customHeight="1">
      <c r="A235" s="478" t="s">
        <v>533</v>
      </c>
      <c r="B235" s="176"/>
      <c r="C235" s="176"/>
      <c r="D235" s="176"/>
      <c r="E235" s="176"/>
      <c r="F235" s="1012" t="s">
        <v>534</v>
      </c>
      <c r="G235" s="434">
        <v>5457669</v>
      </c>
    </row>
    <row r="236" spans="1:7" ht="20.100000000000001" customHeight="1">
      <c r="A236" s="478" t="s">
        <v>708</v>
      </c>
      <c r="B236" s="176"/>
      <c r="C236" s="176"/>
      <c r="D236" s="176"/>
      <c r="E236" s="176"/>
      <c r="F236" s="195">
        <v>73001</v>
      </c>
      <c r="G236" s="434">
        <v>0</v>
      </c>
    </row>
    <row r="237" spans="1:7" ht="20.100000000000001" customHeight="1">
      <c r="A237" s="478" t="s">
        <v>675</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709</v>
      </c>
      <c r="B239" s="176"/>
      <c r="C239" s="176"/>
      <c r="D239" s="176"/>
      <c r="E239" s="176"/>
      <c r="F239" s="195">
        <v>73100</v>
      </c>
      <c r="G239" s="434">
        <v>222331</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100000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6036094</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110866962</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9903768</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9903768</v>
      </c>
    </row>
    <row r="263" spans="1:12" ht="20.100000000000001" customHeight="1">
      <c r="A263" s="479"/>
      <c r="B263" s="176"/>
      <c r="C263" s="176"/>
      <c r="D263" s="176"/>
      <c r="E263" s="176"/>
      <c r="F263" s="189"/>
      <c r="G263" s="205"/>
    </row>
    <row r="264" spans="1:12" ht="20.100000000000001" customHeight="1" thickBot="1">
      <c r="A264" s="490" t="s">
        <v>745</v>
      </c>
      <c r="F264" s="195">
        <v>30800</v>
      </c>
      <c r="G264" s="1158">
        <v>-66034607</v>
      </c>
      <c r="H264" s="505"/>
    </row>
    <row r="265" spans="1:12" ht="20.100000000000001" customHeight="1">
      <c r="A265" s="486"/>
      <c r="F265" s="195"/>
      <c r="G265" s="205"/>
    </row>
    <row r="266" spans="1:12" ht="20.100000000000001" customHeight="1">
      <c r="A266" s="491" t="s">
        <v>558</v>
      </c>
      <c r="B266" s="492"/>
      <c r="C266" s="492"/>
      <c r="D266" s="492"/>
      <c r="E266" s="492"/>
      <c r="F266" s="493"/>
      <c r="G266" s="1157">
        <f>G262+G264</f>
        <v>-56130839</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2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3:F243 H243 B244:F244 H244"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zoomScale="80" zoomScaleNormal="80" zoomScalePageLayoutView="80" workbookViewId="0">
      <selection activeCell="D21" sqref="D21"/>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Indian River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746</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42304960</v>
      </c>
      <c r="C10" s="436">
        <v>2505548</v>
      </c>
      <c r="D10" s="436">
        <v>40000</v>
      </c>
      <c r="E10" s="359">
        <f>SUM(B10:D10)</f>
        <v>44850508</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188973</v>
      </c>
      <c r="C12" s="430">
        <v>0</v>
      </c>
      <c r="D12" s="430">
        <v>0</v>
      </c>
      <c r="E12" s="360">
        <f>SUM(B12:D12)</f>
        <v>188973</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11247691</v>
      </c>
      <c r="C14" s="438">
        <v>831050</v>
      </c>
      <c r="D14" s="438">
        <v>3200</v>
      </c>
      <c r="E14" s="360">
        <f t="shared" ref="E14:E20" si="0">SUM(B14:D14)</f>
        <v>12081941</v>
      </c>
      <c r="F14" s="342"/>
    </row>
    <row r="15" spans="1:8" s="11" customFormat="1" ht="20.100000000000001" customHeight="1">
      <c r="A15" s="358" t="s">
        <v>572</v>
      </c>
      <c r="B15" s="437">
        <v>431593</v>
      </c>
      <c r="C15" s="430">
        <v>230000</v>
      </c>
      <c r="D15" s="430">
        <v>15000</v>
      </c>
      <c r="E15" s="360">
        <f>SUM(B15:D15)</f>
        <v>676593</v>
      </c>
      <c r="F15" s="342"/>
    </row>
    <row r="16" spans="1:8" s="11" customFormat="1" ht="20.100000000000001" customHeight="1">
      <c r="A16" s="358" t="s">
        <v>573</v>
      </c>
      <c r="B16" s="437">
        <v>9373295</v>
      </c>
      <c r="C16" s="430">
        <v>2132920</v>
      </c>
      <c r="D16" s="430">
        <v>26619</v>
      </c>
      <c r="E16" s="360">
        <f t="shared" si="0"/>
        <v>11532834</v>
      </c>
      <c r="F16" s="342"/>
    </row>
    <row r="17" spans="1:6" s="11" customFormat="1" ht="20.100000000000001" customHeight="1">
      <c r="A17" s="358" t="s">
        <v>574</v>
      </c>
      <c r="B17" s="437">
        <v>10524717</v>
      </c>
      <c r="C17" s="430">
        <v>3284074</v>
      </c>
      <c r="D17" s="430">
        <v>5697518</v>
      </c>
      <c r="E17" s="360">
        <f t="shared" si="0"/>
        <v>19506309</v>
      </c>
      <c r="F17" s="342"/>
    </row>
    <row r="18" spans="1:6" s="11" customFormat="1" ht="20.100000000000001" customHeight="1">
      <c r="A18" s="358" t="s">
        <v>575</v>
      </c>
      <c r="B18" s="437">
        <v>10101536</v>
      </c>
      <c r="C18" s="430">
        <v>9853320</v>
      </c>
      <c r="D18" s="430">
        <v>153757</v>
      </c>
      <c r="E18" s="360">
        <f t="shared" si="0"/>
        <v>20108613</v>
      </c>
      <c r="F18" s="342"/>
    </row>
    <row r="19" spans="1:6" s="11" customFormat="1" ht="20.100000000000001" customHeight="1">
      <c r="A19" s="358" t="s">
        <v>576</v>
      </c>
      <c r="B19" s="437">
        <v>94554</v>
      </c>
      <c r="C19" s="430">
        <v>410000</v>
      </c>
      <c r="D19" s="430">
        <v>0</v>
      </c>
      <c r="E19" s="360">
        <f t="shared" si="0"/>
        <v>504554</v>
      </c>
      <c r="F19" s="342"/>
    </row>
    <row r="20" spans="1:6" s="11" customFormat="1" ht="20.100000000000001" customHeight="1" thickBot="1">
      <c r="A20" s="358" t="s">
        <v>577</v>
      </c>
      <c r="B20" s="437">
        <v>224511</v>
      </c>
      <c r="C20" s="431">
        <v>1092126</v>
      </c>
      <c r="D20" s="431">
        <v>100000</v>
      </c>
      <c r="E20" s="360">
        <f t="shared" si="0"/>
        <v>1416637</v>
      </c>
      <c r="F20" s="342"/>
    </row>
    <row r="21" spans="1:6" s="11" customFormat="1" ht="24" customHeight="1" thickBot="1">
      <c r="A21" s="283" t="s">
        <v>47</v>
      </c>
      <c r="B21" s="343">
        <f>SUM(B10:B20)</f>
        <v>84491830</v>
      </c>
      <c r="C21" s="346">
        <f>SUM(C10:C20)</f>
        <v>20339038</v>
      </c>
      <c r="D21" s="346">
        <f>SUM(D10:D20)</f>
        <v>6036094</v>
      </c>
      <c r="E21" s="345">
        <f>SUM(E10:E20)</f>
        <v>110866962</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101" zoomScale="60" zoomScaleNormal="60" zoomScaleSheetLayoutView="50" zoomScalePageLayoutView="60" workbookViewId="0">
      <selection activeCell="E118" sqref="E118"/>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Indian River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746</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725</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3">
        <v>0</v>
      </c>
      <c r="E10" s="1143">
        <v>0</v>
      </c>
      <c r="F10" s="1144">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2322243</v>
      </c>
      <c r="E15" s="724">
        <v>0</v>
      </c>
      <c r="F15" s="725">
        <f t="shared" si="0"/>
        <v>2322243</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680</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0</v>
      </c>
      <c r="E30" s="724">
        <v>0</v>
      </c>
      <c r="F30" s="725">
        <f t="shared" si="0"/>
        <v>0</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238160</v>
      </c>
      <c r="E34" s="724">
        <v>0</v>
      </c>
      <c r="F34" s="725">
        <f t="shared" si="0"/>
        <v>238160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197189</v>
      </c>
      <c r="E47" s="724">
        <v>0</v>
      </c>
      <c r="F47" s="725">
        <f t="shared" si="0"/>
        <v>197189</v>
      </c>
    </row>
    <row r="48" spans="1:6" s="11" customFormat="1" ht="30" customHeight="1">
      <c r="A48" s="721" t="s">
        <v>459</v>
      </c>
      <c r="B48" s="722"/>
      <c r="C48" s="723" t="s">
        <v>460</v>
      </c>
      <c r="D48" s="724">
        <v>342804</v>
      </c>
      <c r="E48" s="724">
        <v>0</v>
      </c>
      <c r="F48" s="725">
        <f t="shared" si="0"/>
        <v>342804</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368286</v>
      </c>
      <c r="E53" s="724">
        <v>0</v>
      </c>
      <c r="F53" s="725">
        <f t="shared" si="0"/>
        <v>368286</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3468682</v>
      </c>
      <c r="E56" s="258">
        <f>SUM(E10:E55)</f>
        <v>0</v>
      </c>
      <c r="F56" s="258">
        <f t="shared" si="0"/>
        <v>3468682</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52400</v>
      </c>
      <c r="E63" s="439">
        <v>0</v>
      </c>
      <c r="F63" s="224">
        <f t="shared" si="0"/>
        <v>52400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4300</v>
      </c>
      <c r="E66" s="724">
        <v>0</v>
      </c>
      <c r="F66" s="725">
        <f t="shared" si="0"/>
        <v>4300</v>
      </c>
    </row>
    <row r="67" spans="1:6" s="11" customFormat="1" ht="30" customHeight="1">
      <c r="A67" s="721" t="s">
        <v>589</v>
      </c>
      <c r="B67" s="722"/>
      <c r="C67" s="731" t="s">
        <v>485</v>
      </c>
      <c r="D67" s="724">
        <v>4400</v>
      </c>
      <c r="E67" s="724">
        <v>0</v>
      </c>
      <c r="F67" s="725">
        <f t="shared" si="0"/>
        <v>4400</v>
      </c>
    </row>
    <row r="68" spans="1:6" s="11" customFormat="1" ht="30" customHeight="1">
      <c r="A68" s="721" t="s">
        <v>486</v>
      </c>
      <c r="B68" s="722"/>
      <c r="C68" s="731" t="s">
        <v>487</v>
      </c>
      <c r="D68" s="724">
        <v>0</v>
      </c>
      <c r="E68" s="724">
        <v>0</v>
      </c>
      <c r="F68" s="725">
        <f t="shared" si="0"/>
        <v>0</v>
      </c>
    </row>
    <row r="69" spans="1:6" s="11" customFormat="1" ht="30" customHeight="1">
      <c r="A69" s="982" t="s">
        <v>673</v>
      </c>
      <c r="B69" s="722"/>
      <c r="C69" s="979">
        <v>63100</v>
      </c>
      <c r="D69" s="980">
        <v>0</v>
      </c>
      <c r="E69" s="980">
        <v>0</v>
      </c>
      <c r="F69" s="981">
        <v>0</v>
      </c>
    </row>
    <row r="70" spans="1:6" s="11" customFormat="1" ht="30" customHeight="1">
      <c r="A70" s="721" t="s">
        <v>488</v>
      </c>
      <c r="B70" s="722"/>
      <c r="C70" s="731" t="s">
        <v>489</v>
      </c>
      <c r="D70" s="724">
        <v>22900</v>
      </c>
      <c r="E70" s="724">
        <v>0</v>
      </c>
      <c r="F70" s="725">
        <f t="shared" si="0"/>
        <v>22900</v>
      </c>
    </row>
    <row r="71" spans="1:6" s="11" customFormat="1" ht="30" customHeight="1">
      <c r="A71" s="721" t="s">
        <v>684</v>
      </c>
      <c r="B71" s="722"/>
      <c r="C71" s="731" t="s">
        <v>491</v>
      </c>
      <c r="D71" s="724">
        <v>0</v>
      </c>
      <c r="E71" s="724">
        <v>0</v>
      </c>
      <c r="F71" s="725">
        <f t="shared" si="0"/>
        <v>0</v>
      </c>
    </row>
    <row r="72" spans="1:6" s="11" customFormat="1" ht="30" customHeight="1">
      <c r="A72" s="721" t="s">
        <v>492</v>
      </c>
      <c r="B72" s="722"/>
      <c r="C72" s="731" t="s">
        <v>493</v>
      </c>
      <c r="D72" s="724">
        <v>3985</v>
      </c>
      <c r="E72" s="724">
        <v>0</v>
      </c>
      <c r="F72" s="725">
        <f t="shared" si="0"/>
        <v>3985</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0</v>
      </c>
      <c r="E75" s="724">
        <v>0</v>
      </c>
      <c r="F75" s="725">
        <f t="shared" si="1"/>
        <v>0</v>
      </c>
    </row>
    <row r="76" spans="1:6" s="11" customFormat="1" ht="30" customHeight="1">
      <c r="A76" s="721" t="s">
        <v>499</v>
      </c>
      <c r="B76" s="722"/>
      <c r="C76" s="731" t="s">
        <v>500</v>
      </c>
      <c r="D76" s="724">
        <v>120100</v>
      </c>
      <c r="E76" s="724">
        <v>6000</v>
      </c>
      <c r="F76" s="725">
        <f t="shared" si="1"/>
        <v>126100</v>
      </c>
    </row>
    <row r="77" spans="1:6" s="11" customFormat="1" ht="30" customHeight="1">
      <c r="A77" s="721" t="s">
        <v>501</v>
      </c>
      <c r="B77" s="722"/>
      <c r="C77" s="731" t="s">
        <v>502</v>
      </c>
      <c r="D77" s="724">
        <v>7000</v>
      </c>
      <c r="E77" s="724">
        <v>0</v>
      </c>
      <c r="F77" s="725">
        <f t="shared" si="1"/>
        <v>7000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500</v>
      </c>
      <c r="E79" s="724">
        <v>0</v>
      </c>
      <c r="F79" s="725">
        <f t="shared" si="1"/>
        <v>500</v>
      </c>
    </row>
    <row r="80" spans="1:6" s="11" customFormat="1" ht="30" customHeight="1">
      <c r="A80" s="721" t="s">
        <v>507</v>
      </c>
      <c r="B80" s="722"/>
      <c r="C80" s="731" t="s">
        <v>508</v>
      </c>
      <c r="D80" s="724">
        <v>0</v>
      </c>
      <c r="E80" s="724">
        <v>0</v>
      </c>
      <c r="F80" s="725">
        <f t="shared" ref="F80:F85" si="2">+D80+E80</f>
        <v>0</v>
      </c>
    </row>
    <row r="81" spans="1:6" s="11" customFormat="1" ht="30" customHeight="1">
      <c r="A81" s="721" t="s">
        <v>720</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173217</v>
      </c>
      <c r="F84" s="725">
        <f t="shared" si="2"/>
        <v>173217</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215585</v>
      </c>
      <c r="E92" s="254">
        <f>SUM(E63:E91)</f>
        <v>179217</v>
      </c>
      <c r="F92" s="254">
        <f t="shared" si="1"/>
        <v>394802</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6" t="s">
        <v>708</v>
      </c>
      <c r="B102" s="1057"/>
      <c r="C102" s="1058">
        <v>73001</v>
      </c>
      <c r="D102" s="1082">
        <v>0</v>
      </c>
      <c r="E102" s="1082">
        <v>0</v>
      </c>
      <c r="F102" s="1016">
        <f t="shared" si="1"/>
        <v>0</v>
      </c>
    </row>
    <row r="103" spans="1:6" s="11" customFormat="1" ht="30" customHeight="1">
      <c r="A103" s="1059" t="s">
        <v>675</v>
      </c>
      <c r="B103" s="1060"/>
      <c r="C103" s="1061">
        <v>73002</v>
      </c>
      <c r="D103" s="1083">
        <v>0</v>
      </c>
      <c r="E103" s="1083">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709</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3684267</v>
      </c>
      <c r="E112" s="254">
        <f>+E56+E92+E110</f>
        <v>179217</v>
      </c>
      <c r="F112" s="254">
        <f>SUM(D112:E112)</f>
        <v>3863484</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3572467</v>
      </c>
      <c r="E117" s="724">
        <v>179217</v>
      </c>
      <c r="F117" s="725">
        <f t="shared" ref="F117:F127" si="3">+D117+E117</f>
        <v>3751684</v>
      </c>
    </row>
    <row r="118" spans="1:6" s="63" customFormat="1" ht="30" customHeight="1">
      <c r="A118" s="721" t="s">
        <v>598</v>
      </c>
      <c r="B118" s="574"/>
      <c r="C118" s="733"/>
      <c r="D118" s="1039">
        <f>'EXHIBIT C'!F19</f>
        <v>111800</v>
      </c>
      <c r="E118" s="724">
        <v>0</v>
      </c>
      <c r="F118" s="725">
        <f t="shared" si="3"/>
        <v>111800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671</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3684267</v>
      </c>
      <c r="E128" s="248">
        <f>SUM(E116:E127)</f>
        <v>179217</v>
      </c>
      <c r="F128" s="249">
        <f>SUM(F116:F127)</f>
        <v>3863484</v>
      </c>
    </row>
    <row r="129" spans="1:6" ht="14.1" customHeight="1">
      <c r="A129" s="237"/>
      <c r="B129" s="237"/>
      <c r="C129" s="238"/>
      <c r="D129" s="239"/>
      <c r="E129" s="239"/>
      <c r="F129" s="239"/>
    </row>
    <row r="130" spans="1:6" ht="83.25" customHeight="1">
      <c r="A130" s="898" t="s">
        <v>747</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748</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topLeftCell="A7"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749</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690</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2026-06-30T16:31:56Z</cp:lastPrinted>
  <dcterms:created xsi:type="dcterms:W3CDTF">2005-03-22T15:46:43Z</dcterms:created>
  <dcterms:modified xsi:type="dcterms:W3CDTF">2026-08-04T12:30:14Z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