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Hillsborough\"/>
    </mc:Choice>
  </mc:AlternateContent>
  <xr:revisionPtr revIDLastSave="0" documentId="13_ncr:1_{A59A524D-1BB1-40FF-AE84-246940E435F2}" xr6:coauthVersionLast="47" xr6:coauthVersionMax="47" xr10:uidLastSave="{00000000-0000-0000-0000-000000000000}"/>
  <workbookProtection workbookAlgorithmName="SHA-512" workbookHashValue="mqOYxgtgAN53PyVm0Q5DVmIqVq1lvcKTdLJOXt3XL2p811nlLWJk+tZv0cN35H7MacTH7ECVsAMuVBRvm+xvew==" workbookSaltValue="EHfwjaUnphOKw5iGoUJbfg=="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<sst xmlns="http://schemas.openxmlformats.org/spreadsheetml/2006/main" count="1323" uniqueCount="796">
  <si>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</si>
  <si>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</si>
  <si>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</si>
  <si>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</si>
  <si>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</si>
  <si>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</si>
  <si>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</si>
  <si>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</si>
  <si>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</si>
  <si>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</si>
  <si>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</si>
  <si>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</si>
  <si>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</si>
  <si>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</si>
  <si>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</si>
  <si>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</si>
  <si>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</si>
  <si>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</si>
  <si>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</si>
  <si>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</si>
  <si>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</si>
  <si>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</si>
  <si>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</si>
  <si>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</si>
  <si>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</si>
  <si>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</si>
  <si>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</si>
  <si>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</si>
  <si>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</si>
  <si>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</si>
  <si>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</si>
  <si>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</si>
  <si>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</si>
  <si>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</si>
  <si>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</si>
  <si>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</si>
  <si>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</si>
  <si>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</si>
  <si>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</si>
  <si>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</si>
  <si>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</si>
  <si>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</si>
  <si>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</si>
  <si>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</si>
  <si>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</si>
  <si>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</si>
  <si>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</si>
  <si>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</si>
  <si>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</si>
  <si>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</si>
  <si>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</si>
  <si>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</si>
  <si>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</si>
  <si>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</si>
  <si>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</si>
  <si>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</si>
  <si>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</si>
  <si>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</si>
  <si>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</si>
  <si>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</si>
  <si>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</si>
  <si>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</si>
  <si>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</si>
  <si>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</si>
  <si>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</si>
  <si>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</si>
  <si>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</si>
  <si>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</si>
  <si>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</si>
  <si>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</si>
  <si>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</si>
  <si>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</si>
  <si>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</si>
  <si>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</si>
  <si>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</si>
  <si>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</si>
  <si>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</si>
  <si>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</si>
  <si>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</si>
  <si>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</si>
  <si>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</si>
  <si>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</si>
  <si>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</si>
  <si>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</si>
  <si>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</si>
  <si>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</si>
  <si>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</si>
  <si>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</si>
  <si>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</si>
  <si>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</si>
  <si>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</si>
  <si>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</si>
  <si>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</si>
  <si>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</si>
  <si>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</si>
  <si>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</si>
  <si>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</si>
  <si>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</si>
  <si>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</si>
  <si>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</si>
  <si>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</si>
  <si>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</si>
  <si>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</si>
  <si>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</si>
  <si>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</si>
  <si>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</si>
  <si>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</si>
  <si>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</si>
  <si>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</si>
  <si>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</si>
  <si>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</si>
  <si>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</si>
  <si>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</si>
  <si>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</si>
  <si>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</si>
  <si>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</si>
  <si>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</si>
  <si>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</si>
  <si>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</si>
  <si>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</si>
  <si>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</si>
  <si>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</si>
  <si>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</si>
  <si>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</si>
  <si>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</si>
  <si>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</si>
  <si>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</si>
  <si>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</si>
  <si>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</si>
  <si>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</si>
  <si>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</si>
  <si>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</si>
  <si>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</si>
  <si>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</si>
  <si>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</si>
  <si>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</si>
  <si>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</si>
  <si>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</si>
  <si>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</si>
  <si>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</si>
  <si>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</si>
  <si>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</si>
  <si>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</si>
  <si>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</si>
  <si>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</si>
  <si>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</si>
  <si>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</si>
  <si>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</si>
  <si>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</si>
  <si>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</si>
  <si>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</si>
  <si>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</si>
  <si>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</si>
  <si>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</si>
  <si>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</si>
  <si>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</si>
  <si>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</si>
  <si>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</si>
  <si>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</si>
  <si>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</si>
  <si>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</si>
  <si>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</si>
  <si>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</si>
  <si>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</si>
  <si>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</si>
  <si>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</si>
  <si>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</si>
  <si>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</si>
  <si>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</si>
  <si>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</si>
  <si>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</si>
  <si>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</si>
  <si>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</si>
  <si>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</si>
  <si>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</si>
  <si>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</si>
  <si>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</si>
  <si>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</si>
  <si>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</si>
  <si>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</si>
  <si>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</si>
  <si>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</si>
  <si>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</si>
  <si>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</si>
  <si>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</si>
  <si>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</si>
  <si>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</si>
  <si>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</si>
  <si>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</si>
  <si>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</si>
  <si>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</si>
  <si>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</si>
  <si>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</si>
  <si>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</si>
  <si>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</si>
  <si>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</si>
  <si>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</si>
  <si>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</si>
  <si>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</si>
  <si>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</si>
  <si>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</si>
  <si>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</si>
  <si>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</si>
  <si>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</si>
  <si>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</si>
  <si>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</si>
  <si>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</si>
  <si>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</si>
  <si>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</si>
  <si>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</si>
  <si>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</si>
  <si>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</si>
  <si>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</si>
  <si>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</si>
  <si>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</si>
  <si>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</si>
  <si>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</si>
  <si>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</si>
  <si>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</si>
  <si>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</si>
  <si>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</si>
  <si>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</si>
  <si>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</si>
  <si>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</si>
  <si>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</si>
  <si>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</si>
  <si>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</si>
  <si>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</si>
  <si>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</si>
  <si>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</si>
  <si>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</si>
  <si>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</si>
  <si>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</si>
  <si>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</si>
  <si>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</si>
  <si>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</si>
  <si>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</si>
  <si>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</si>
  <si>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</si>
  <si>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</si>
  <si>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</si>
  <si>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</si>
  <si>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</si>
  <si>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</si>
  <si>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</si>
  <si>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</si>
  <si>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</si>
  <si>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</si>
  <si>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</si>
  <si>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</si>
  <si>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</si>
  <si>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</si>
  <si>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</si>
  <si>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</si>
  <si>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</si>
  <si>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</si>
  <si>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</si>
  <si>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</si>
  <si>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</si>
  <si>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</si>
  <si>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</si>
  <si>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</si>
  <si>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</si>
  <si>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</si>
  <si>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</si>
  <si>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</si>
  <si>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</si>
  <si>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</si>
  <si>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</si>
  <si>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</si>
  <si>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</si>
  <si>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</si>
  <si>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</si>
  <si>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</si>
  <si>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</si>
  <si>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</si>
  <si>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</si>
  <si>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</si>
  <si>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</si>
  <si>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</si>
  <si>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</si>
  <si>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</si>
  <si>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</si>
  <si>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</si>
  <si>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</si>
  <si>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</si>
  <si>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</si>
  <si>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</si>
  <si>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</si>
  <si>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</si>
  <si>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</si>
  <si>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</si>
  <si>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</si>
  <si>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</si>
  <si>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</si>
  <si>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</si>
  <si>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</si>
  <si>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</si>
  <si>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</si>
  <si>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</si>
  <si>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</si>
  <si>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</si>
  <si>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</si>
  <si>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</si>
  <si>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</si>
  <si>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</si>
  <si>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</si>
  <si>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</si>
  <si>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</si>
  <si>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</si>
  <si>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</si>
  <si>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</si>
  <si>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</si>
  <si>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</si>
  <si>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</si>
  <si>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</si>
  <si>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</si>
  <si>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</si>
  <si>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</si>
  <si>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</si>
  <si>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</si>
  <si>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</si>
  <si>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</si>
  <si>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</si>
  <si>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</si>
  <si>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</si>
  <si>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</si>
  <si>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</si>
  <si>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</si>
  <si>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</si>
  <si>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</si>
  <si>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</si>
  <si>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</si>
  <si>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</si>
  <si>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</si>
  <si>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</si>
  <si>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</si>
  <si>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</si>
  <si>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</si>
  <si>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</si>
  <si>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</si>
  <si>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</si>
  <si>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</si>
  <si>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</si>
  <si>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</si>
  <si>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</si>
  <si>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</si>
  <si>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</si>
  <si>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</si>
  <si>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</si>
  <si>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</si>
  <si>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</si>
  <si>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</si>
  <si>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</si>
  <si>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</si>
  <si>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</si>
  <si>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</si>
  <si>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</si>
  <si>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</si>
  <si>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</si>
  <si>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</si>
  <si>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</si>
  <si>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</si>
  <si>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</si>
  <si>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</si>
  <si>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</si>
  <si>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</si>
  <si>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</si>
  <si>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</si>
  <si>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</si>
  <si>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</si>
  <si>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</si>
  <si>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</si>
  <si>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</si>
  <si>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</si>
  <si>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</si>
  <si>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</si>
  <si>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</si>
  <si>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</si>
  <si>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</si>
  <si>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</si>
  <si>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</si>
  <si>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</si>
  <si>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</si>
  <si>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</si>
  <si>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</si>
  <si>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</si>
  <si>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</si>
  <si>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</si>
  <si>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</si>
  <si>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</si>
  <si>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</si>
  <si>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</si>
  <si>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</si>
  <si>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</si>
  <si>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</si>
  <si>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</si>
  <si>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</si>
  <si>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</si>
  <si>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</si>
  <si>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</si>
  <si>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</si>
  <si>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</si>
  <si>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</si>
  <si>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</si>
  <si>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</si>
  <si>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</si>
  <si>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</si>
  <si>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</si>
  <si>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</si>
  <si>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</si>
  <si>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</si>
  <si>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</si>
  <si>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</si>
  <si>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</si>
  <si>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</si>
  <si>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</si>
  <si>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</si>
  <si>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</si>
  <si>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</si>
  <si>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</si>
  <si>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</si>
  <si>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</si>
  <si>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</si>
  <si>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</si>
  <si>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</si>
  <si>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</si>
  <si>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</si>
  <si>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</si>
  <si>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</si>
  <si>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</si>
  <si>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</si>
  <si>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</si>
  <si>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</si>
  <si>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</si>
  <si>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</si>
  <si>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</si>
  <si>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</si>
  <si>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</si>
  <si>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</si>
  <si>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</si>
  <si>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</si>
  <si>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</si>
  <si>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</si>
  <si>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</si>
  <si>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</si>
  <si>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</si>
  <si>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</si>
  <si>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</si>
  <si>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</si>
  <si>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</si>
  <si>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</si>
  <si>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</si>
  <si>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</si>
  <si>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</si>
  <si>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</si>
  <si>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</si>
  <si>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</si>
  <si>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</si>
  <si>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</si>
  <si>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</si>
  <si>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</si>
  <si>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</si>
  <si>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</si>
  <si>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</si>
  <si>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</si>
  <si>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</si>
  <si>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</si>
  <si>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</si>
  <si>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</si>
  <si>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</si>
  <si>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</si>
  <si>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</si>
  <si>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</si>
  <si>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</si>
  <si>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</si>
  <si>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</si>
  <si>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</si>
  <si>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</si>
  <si>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</si>
  <si>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</si>
  <si>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</si>
  <si>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</si>
  <si>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</si>
  <si>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</si>
  <si>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</si>
  <si>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</si>
  <si>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</si>
  <si>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</si>
  <si>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</si>
  <si>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</si>
  <si>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</si>
  <si>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</si>
  <si>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</si>
  <si>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</si>
  <si>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</si>
  <si>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</si>
  <si>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</si>
  <si>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</si>
  <si>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</si>
  <si>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</si>
  <si>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</si>
  <si>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</si>
  <si>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</si>
  <si>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</si>
  <si>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</si>
  <si>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</si>
  <si>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</si>
  <si>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</si>
  <si>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</si>
  <si>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</si>
  <si>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</si>
  <si>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</si>
  <si>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</si>
  <si>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</si>
  <si>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</si>
  <si>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</si>
  <si>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</si>
  <si>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</si>
  <si>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</si>
  <si>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</si>
  <si>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</si>
  <si>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</si>
  <si>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</si>
  <si>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</si>
  <si>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</si>
  <si>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</si>
  <si>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</si>
  <si>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</si>
  <si>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</si>
  <si>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</si>
  <si>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</si>
  <si>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</si>
  <si>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</si>
  <si>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</si>
  <si>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</si>
  <si>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</si>
  <si>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</si>
  <si>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</si>
  <si>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</si>
  <si>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</si>
  <si>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</si>
  <si>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</si>
  <si>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</si>
  <si>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</si>
  <si>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</si>
  <si>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</si>
  <si>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</si>
  <si>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</si>
  <si>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</si>
  <si>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</si>
  <si>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</si>
  <si>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</si>
  <si>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</si>
  <si>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</si>
  <si>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</si>
  <si>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</si>
  <si>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</si>
  <si>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</si>
  <si>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</si>
  <si>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</si>
  <si>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</si>
  <si>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</si>
  <si>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</si>
  <si>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</si>
  <si>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</si>
  <si>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</si>
  <si>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</si>
  <si>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</si>
  <si>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</si>
  <si>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</si>
  <si>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</si>
  <si>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</si>
  <si>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</si>
  <si>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</si>
  <si>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</si>
  <si>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</si>
  <si>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</si>
  <si>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</si>
  <si>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</si>
  <si>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</si>
  <si>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</si>
  <si>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</si>
  <si>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</si>
  <si>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</si>
  <si>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</si>
  <si>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</si>
  <si>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</si>
  <si>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</si>
  <si>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</si>
  <si>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</si>
  <si>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</si>
  <si>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</si>
  <si>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</si>
  <si>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</si>
  <si>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</si>
  <si>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</si>
  <si>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</si>
  <si>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</si>
  <si>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</si>
  <si>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</si>
  <si>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</si>
  <si>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</si>
  <si>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</si>
  <si>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</si>
  <si>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</si>
  <si>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</si>
  <si>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</si>
  <si>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</si>
  <si>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</si>
  <si>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</si>
  <si>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</si>
  <si>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</si>
  <si>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</si>
  <si>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</si>
  <si>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</si>
  <si>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</si>
  <si>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</si>
  <si>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</si>
  <si>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</si>
  <si>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</si>
  <si>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</si>
  <si>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</si>
  <si>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</si>
  <si>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</si>
  <si>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</si>
  <si>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</si>
  <si>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</si>
  <si>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</si>
  <si>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</si>
  <si>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</si>
  <si>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</si>
  <si>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</si>
  <si>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</si>
  <si>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</si>
  <si>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</si>
  <si>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</si>
  <si>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</si>
  <si>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</si>
  <si>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</si>
  <si>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</si>
  <si>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</si>
  <si>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</si>
  <si>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</si>
  <si>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</si>
  <si>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</si>
  <si>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</si>
  <si>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</si>
  <si>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</si>
  <si>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</si>
  <si>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</si>
  <si>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</si>
  <si>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</si>
  <si>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</si>
  <si>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</si>
  <si>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</si>
  <si>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</si>
  <si>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</si>
  <si>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</si>
  <si>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</si>
  <si>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</si>
  <si>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</si>
  <si>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</si>
  <si>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</si>
  <si>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</si>
  <si>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</si>
  <si>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</si>
  <si>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</si>
  <si>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</si>
  <si>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</si>
  <si>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</si>
  <si>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</si>
  <si>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</si>
  <si>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</si>
  <si>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</si>
  <si>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</si>
  <si>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</si>
  <si>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</si>
  <si>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</si>
  <si>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</si>
  <si>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</si>
  <si>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</si>
  <si>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</si>
  <si>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</si>
  <si>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</si>
  <si>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</si>
  <si>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</si>
  <si>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</si>
  <si>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</si>
  <si>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</si>
  <si>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</si>
  <si>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</si>
  <si>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</si>
  <si>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</si>
  <si>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</si>
  <si>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</si>
  <si>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</si>
  <si>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</si>
  <si>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</si>
  <si>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</si>
  <si>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</si>
  <si>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</si>
  <si>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</si>
  <si>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</si>
  <si>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</si>
  <si>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</si>
  <si>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</si>
  <si>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</si>
  <si>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</si>
  <si>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</si>
  <si>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</si>
  <si>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</si>
  <si>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</si>
  <si>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</si>
  <si>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</si>
  <si>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</si>
  <si>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</si>
  <si>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</si>
  <si>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</si>
  <si>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</si>
  <si>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</si>
  <si>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</si>
  <si>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</si>
  <si>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</si>
  <si>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</si>
  <si>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</si>
  <si>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</si>
  <si>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</si>
  <si>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</si>
  <si>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</si>
  <si>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</si>
  <si>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</si>
  <si>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</si>
  <si>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</si>
  <si>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</si>
  <si>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</si>
  <si>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</si>
  <si>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</si>
  <si>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</si>
  <si>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</si>
  <si>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</si>
  <si>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</si>
  <si>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</si>
  <si>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</si>
  <si>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</si>
  <si>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</si>
  <si>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</si>
  <si>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</si>
  <si>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</si>
  <si>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</si>
  <si>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</si>
  <si>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</si>
  <si>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</si>
  <si>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</si>
  <si>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</si>
  <si>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</si>
  <si>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</si>
  <si>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</si>
  <si>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</si>
  <si>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</si>
  <si>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</si>
  <si>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</si>
  <si>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</si>
  <si>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</si>
  <si>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</si>
  <si>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</si>
  <si>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</si>
  <si>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</si>
  <si>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</si>
  <si>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</si>
  <si>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</si>
  <si>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</si>
  <si>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</si>
  <si>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</si>
  <si>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</si>
  <si>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</si>
  <si>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</si>
  <si>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</si>
  <si>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</si>
  <si>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</si>
  <si>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</si>
  <si>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</si>
  <si>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</si>
  <si>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</si>
  <si>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</si>
  <si>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</si>
  <si>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</si>
  <si>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</si>
  <si>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</si>
  <si>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</si>
  <si>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</si>
  <si>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Grant Matching Fund</t>
  </si>
  <si>
    <t>Restricted General</t>
  </si>
  <si>
    <t>Restricted</t>
  </si>
  <si>
    <t>Unrestricted General Fund</t>
  </si>
  <si>
    <t>The credit hours have been adjusted to reflect the College's latest estimates based on current registration trends.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</si>
</sst>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723</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731</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790</v>
      </c>
      <c r="C3" s="58"/>
      <c r="D3" s="67"/>
      <c r="E3" s="66"/>
    </row>
    <row r="4" spans="1:10" ht="25.35" customHeight="1" thickBot="1">
      <c r="A4" s="56">
        <v>1</v>
      </c>
      <c r="B4" s="46">
        <v>2</v>
      </c>
      <c r="C4" s="46">
        <v>3</v>
      </c>
      <c r="D4" s="46">
        <v>4</v>
      </c>
      <c r="E4" s="13"/>
    </row>
    <row r="5" spans="1:10" ht="44.1" customHeight="1" thickBot="1">
      <c r="A5" s="32" t="s">
        <v>16</v>
      </c>
      <c r="B5" s="1027" t="s">
        <v>758</v>
      </c>
      <c r="C5" s="1028"/>
      <c r="D5" s="1029"/>
      <c r="E5" s="563" t="s">
        <v>10</v>
      </c>
      <c r="F5" s="13"/>
    </row>
    <row r="6" spans="1:10" ht="89.1" customHeight="1" thickBot="1">
      <c r="A6" s="280" t="s">
        <v>17</v>
      </c>
      <c r="B6" s="55" t="s">
        <v>766</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752</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700</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767</v>
      </c>
      <c r="B37" s="821"/>
      <c r="C37" s="821"/>
      <c r="D37" s="821"/>
      <c r="E37" s="461"/>
      <c r="K37" s="399"/>
    </row>
    <row r="38" spans="1:12" s="1162" customFormat="1" ht="29.25" customHeight="1">
      <c r="A38" s="1166" t="s">
        <v>768</v>
      </c>
      <c r="B38" s="1031"/>
      <c r="C38" s="1031"/>
      <c r="D38" s="1031"/>
      <c r="E38" s="1161"/>
      <c r="K38" s="1163"/>
    </row>
    <row r="39" spans="1:12" ht="36.6" hidden="1" customHeight="1" thickBot="1">
      <c r="A39" s="456" t="s">
        <v>15</v>
      </c>
      <c r="B39" s="457"/>
      <c r="C39" s="457"/>
      <c r="K39" s="163"/>
    </row>
    <row r="40" spans="1:12" ht="24" hidden="1" customHeight="1" thickBot="1">
      <c r="A40" s="38" t="s">
        <v>760</v>
      </c>
      <c r="B40" s="1167" t="s">
        <v>788</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769</v>
      </c>
      <c r="C43" s="596"/>
      <c r="D43" s="596"/>
      <c r="E43" s="597">
        <f t="shared" ref="E43:E60" si="1">C43+D43</f>
        <v>0</v>
      </c>
    </row>
    <row r="44" spans="1:12" ht="63" hidden="1">
      <c r="A44" s="910" t="s">
        <v>22</v>
      </c>
      <c r="B44" s="598" t="s">
        <v>770</v>
      </c>
      <c r="C44" s="596"/>
      <c r="D44" s="596"/>
      <c r="E44" s="597">
        <f t="shared" si="1"/>
        <v>0</v>
      </c>
    </row>
    <row r="45" spans="1:12" ht="47.25" hidden="1" customHeight="1">
      <c r="A45" s="908" t="s">
        <v>24</v>
      </c>
      <c r="B45" s="598" t="s">
        <v>785</v>
      </c>
      <c r="C45" s="596"/>
      <c r="D45" s="596"/>
      <c r="E45" s="597">
        <f t="shared" si="1"/>
        <v>0</v>
      </c>
    </row>
    <row r="46" spans="1:12" ht="84.75" hidden="1" customHeight="1">
      <c r="A46" s="908" t="s">
        <v>24</v>
      </c>
      <c r="B46" s="983" t="s">
        <v>771</v>
      </c>
      <c r="C46" s="984"/>
      <c r="D46" s="984"/>
      <c r="E46" s="597">
        <f t="shared" si="1"/>
        <v>0</v>
      </c>
    </row>
    <row r="47" spans="1:12" ht="84.75" hidden="1" customHeight="1">
      <c r="A47" s="908" t="s">
        <v>699</v>
      </c>
      <c r="B47" s="983" t="s">
        <v>772</v>
      </c>
      <c r="C47" s="984"/>
      <c r="D47" s="984"/>
      <c r="E47" s="597">
        <f t="shared" si="1"/>
        <v>0</v>
      </c>
      <c r="G47" s="155" t="s">
        <v>10</v>
      </c>
    </row>
    <row r="48" spans="1:12" ht="66" hidden="1" customHeight="1">
      <c r="A48" s="908" t="s">
        <v>752</v>
      </c>
      <c r="B48" s="983" t="s">
        <v>786</v>
      </c>
      <c r="C48" s="984"/>
      <c r="D48" s="984"/>
      <c r="E48" s="597">
        <f t="shared" si="1"/>
        <v>0</v>
      </c>
      <c r="G48" s="155"/>
    </row>
    <row r="49" spans="1:5" ht="62.45" hidden="1" customHeight="1">
      <c r="A49" s="908" t="s">
        <v>752</v>
      </c>
      <c r="B49" s="598" t="s">
        <v>773</v>
      </c>
      <c r="C49" s="596"/>
      <c r="D49" s="596"/>
      <c r="E49" s="597">
        <f t="shared" si="1"/>
        <v>0</v>
      </c>
    </row>
    <row r="50" spans="1:5" ht="43.5" hidden="1" customHeight="1">
      <c r="A50" s="908" t="s">
        <v>33</v>
      </c>
      <c r="B50" s="983" t="s">
        <v>774</v>
      </c>
      <c r="C50" s="984"/>
      <c r="D50" s="984"/>
      <c r="E50" s="597">
        <f t="shared" si="1"/>
        <v>0</v>
      </c>
    </row>
    <row r="51" spans="1:5" ht="62.45" hidden="1" customHeight="1">
      <c r="A51" s="1096" t="s">
        <v>35</v>
      </c>
      <c r="B51" s="983" t="s">
        <v>775</v>
      </c>
      <c r="C51" s="984"/>
      <c r="D51" s="984"/>
      <c r="E51" s="1081">
        <f t="shared" si="1"/>
        <v>0</v>
      </c>
    </row>
    <row r="52" spans="1:5" ht="62.45" hidden="1" customHeight="1" thickBot="1">
      <c r="A52" s="1101" t="s">
        <v>776</v>
      </c>
      <c r="B52" s="1102" t="s">
        <v>777</v>
      </c>
      <c r="C52" s="1103"/>
      <c r="D52" s="1103"/>
      <c r="E52" s="1104">
        <f t="shared" si="1"/>
        <v>0</v>
      </c>
    </row>
    <row r="53" spans="1:5" ht="62.45" hidden="1" customHeight="1" thickBot="1">
      <c r="A53" s="1169" t="s">
        <v>37</v>
      </c>
      <c r="B53" s="1170" t="s">
        <v>787</v>
      </c>
      <c r="C53" s="1171"/>
      <c r="D53" s="1171"/>
      <c r="E53" s="1104">
        <f t="shared" si="1"/>
        <v>0</v>
      </c>
    </row>
    <row r="54" spans="1:5" ht="62.45" hidden="1" customHeight="1" thickBot="1">
      <c r="A54" s="1101" t="s">
        <v>37</v>
      </c>
      <c r="B54" s="1102" t="s">
        <v>778</v>
      </c>
      <c r="C54" s="1103"/>
      <c r="D54" s="1103"/>
      <c r="E54" s="1104">
        <f t="shared" si="1"/>
        <v>0</v>
      </c>
    </row>
    <row r="55" spans="1:5" ht="62.45" hidden="1" customHeight="1" thickBot="1">
      <c r="A55" s="1169" t="s">
        <v>38</v>
      </c>
      <c r="B55" s="1170" t="s">
        <v>779</v>
      </c>
      <c r="C55" s="1171"/>
      <c r="D55" s="1171"/>
      <c r="E55" s="1172">
        <f t="shared" si="1"/>
        <v>0</v>
      </c>
    </row>
    <row r="56" spans="1:5" ht="62.45" hidden="1" customHeight="1" thickBot="1">
      <c r="A56" s="1169" t="s">
        <v>43</v>
      </c>
      <c r="B56" s="1173" t="s">
        <v>780</v>
      </c>
      <c r="C56" s="1171"/>
      <c r="D56" s="1171"/>
      <c r="E56" s="1172">
        <f t="shared" si="1"/>
        <v>0</v>
      </c>
    </row>
    <row r="57" spans="1:5" ht="62.45" hidden="1" customHeight="1" thickBot="1">
      <c r="A57" s="1169" t="s">
        <v>44</v>
      </c>
      <c r="B57" s="1174" t="s">
        <v>781</v>
      </c>
      <c r="C57" s="1171"/>
      <c r="D57" s="1171"/>
      <c r="E57" s="1172">
        <f t="shared" si="1"/>
        <v>0</v>
      </c>
    </row>
    <row r="58" spans="1:5" ht="62.45" hidden="1" customHeight="1" thickBot="1">
      <c r="A58" s="1169" t="s">
        <v>44</v>
      </c>
      <c r="B58" s="1175" t="s">
        <v>782</v>
      </c>
      <c r="C58" s="1171"/>
      <c r="D58" s="1171"/>
      <c r="E58" s="1172">
        <f t="shared" si="1"/>
        <v>0</v>
      </c>
    </row>
    <row r="59" spans="1:5" ht="62.45" hidden="1" customHeight="1" thickBot="1">
      <c r="A59" s="1169" t="s">
        <v>41</v>
      </c>
      <c r="B59" s="1175" t="s">
        <v>783</v>
      </c>
      <c r="C59" s="1171"/>
      <c r="D59" s="1171"/>
      <c r="E59" s="1172">
        <f t="shared" si="1"/>
        <v>0</v>
      </c>
    </row>
    <row r="60" spans="1:5" ht="62.45" hidden="1" customHeight="1" thickBot="1">
      <c r="A60" s="1169" t="s">
        <v>41</v>
      </c>
      <c r="B60" s="1175" t="s">
        <v>784</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726</v>
      </c>
      <c r="B65" s="381" t="s">
        <v>701</v>
      </c>
      <c r="C65" s="10" t="s">
        <v>10</v>
      </c>
      <c r="D65" s="10"/>
    </row>
    <row r="66" spans="1:7" ht="69" hidden="1" customHeight="1" thickBot="1">
      <c r="A66" s="998" t="s">
        <v>702</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757</v>
      </c>
      <c r="B72" s="1000" t="s">
        <v>756</v>
      </c>
      <c r="C72" s="1001"/>
      <c r="D72" s="1001"/>
      <c r="E72" s="1002"/>
      <c r="F72" s="12"/>
      <c r="G72" s="10"/>
    </row>
    <row r="73" spans="1:7" ht="87.6" customHeight="1" thickBot="1">
      <c r="A73" s="34" t="s">
        <v>17</v>
      </c>
      <c r="B73" s="18" t="s">
        <v>759</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751</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754</v>
      </c>
      <c r="B111" s="987" t="s">
        <v>753</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677</v>
      </c>
      <c r="U113" s="26"/>
      <c r="V113" s="27"/>
      <c r="W113" s="28"/>
      <c r="X113" s="29"/>
      <c r="Y113" s="53"/>
      <c r="Z113" s="1006"/>
      <c r="AA113" s="1007"/>
      <c r="AB113" s="1008"/>
      <c r="AC113" s="13"/>
      <c r="AD113" s="1095" t="s">
        <v>763</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698</v>
      </c>
      <c r="R114" s="1022"/>
      <c r="S114" s="1023"/>
      <c r="T114" s="1080"/>
      <c r="U114" s="15"/>
      <c r="V114" s="1137" t="s">
        <v>765</v>
      </c>
      <c r="W114" s="1140"/>
      <c r="X114" s="1141"/>
      <c r="Y114" s="1139"/>
      <c r="Z114" s="1137" t="s">
        <v>76</v>
      </c>
      <c r="AA114" s="1138"/>
      <c r="AB114" s="995"/>
      <c r="AD114" s="37" t="s">
        <v>77</v>
      </c>
      <c r="AF114" s="13"/>
      <c r="AI114" s="1026" t="s">
        <v>678</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761</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762</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673</v>
      </c>
      <c r="V146" s="47"/>
      <c r="W146" s="47"/>
      <c r="X146" s="47"/>
      <c r="Y146" s="47"/>
      <c r="Z146" s="47"/>
      <c r="AA146" s="47"/>
      <c r="AB146" s="47"/>
    </row>
    <row r="147" spans="1:44">
      <c r="A147" s="11" t="s">
        <v>755</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697</v>
      </c>
      <c r="B152" s="993"/>
      <c r="C152" s="1069"/>
      <c r="D152" s="1069"/>
    </row>
    <row r="153" spans="1:44" ht="21.75" thickBot="1">
      <c r="A153" s="56"/>
      <c r="B153" s="1160" t="s">
        <v>789</v>
      </c>
    </row>
    <row r="154" spans="1:44" ht="21.75" thickBot="1">
      <c r="A154" s="56">
        <v>1</v>
      </c>
      <c r="B154" s="46">
        <v>2</v>
      </c>
    </row>
    <row r="155" spans="1:44" ht="57" customHeight="1" thickBot="1">
      <c r="A155" s="32" t="s">
        <v>147</v>
      </c>
      <c r="B155" s="1065" t="s">
        <v>758</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697</v>
      </c>
      <c r="B187" s="993"/>
    </row>
    <row r="188" spans="1:2" ht="21.75" thickBot="1">
      <c r="A188" s="56"/>
      <c r="B188" s="57" t="s">
        <v>789</v>
      </c>
    </row>
    <row r="189" spans="1:2" ht="21.75" thickBot="1">
      <c r="A189" s="56">
        <v>1</v>
      </c>
      <c r="B189" s="46">
        <v>2</v>
      </c>
    </row>
    <row r="190" spans="1:2" ht="54" thickBot="1">
      <c r="A190" s="1071" t="s">
        <v>679</v>
      </c>
      <c r="B190" s="1065" t="s">
        <v>758</v>
      </c>
    </row>
    <row r="191" spans="1:2" ht="42.75" thickBot="1">
      <c r="A191" s="280" t="s">
        <v>17</v>
      </c>
      <c r="B191" s="17" t="s">
        <v>679</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724</v>
      </c>
      <c r="B2" s="868"/>
      <c r="C2" s="868"/>
      <c r="D2" s="868"/>
      <c r="E2" s="868"/>
      <c r="F2" s="868"/>
      <c r="G2" s="868"/>
    </row>
    <row r="3" spans="1:9" ht="20.100000000000001" customHeight="1">
      <c r="A3" s="868"/>
      <c r="B3" s="868"/>
      <c r="C3" s="868"/>
      <c r="D3" s="868"/>
      <c r="E3" s="868"/>
      <c r="F3" s="868"/>
      <c r="G3" s="868"/>
      <c r="H3" s="82"/>
    </row>
    <row r="4" spans="1:9" ht="28.35" customHeight="1">
      <c r="A4" s="1085" t="s">
        <v>692</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752</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725</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0.210884674240745</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726</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4200</v>
      </c>
      <c r="E44" s="108">
        <f>+'EXHIBIT C'!F10</f>
        <v>4684.6099999999997</v>
      </c>
      <c r="F44" s="109">
        <f t="shared" ref="F44:F50" si="0">IF(D44=0,"0",(E44/D44-1))</f>
        <v>0.11538333333333317</v>
      </c>
      <c r="G44" s="110" t="str">
        <f t="shared" ref="G44:G50" si="1">IF(OR(F44&gt;3%, F44&lt;-3%),"YES","NO")</f>
        <v>YES</v>
      </c>
      <c r="H44" s="82"/>
    </row>
    <row r="45" spans="1:8" ht="20.100000000000001" customHeight="1">
      <c r="C45" s="111" t="s">
        <v>123</v>
      </c>
      <c r="D45" s="620">
        <f>VLOOKUP($D$7,VLOOKUP!$A$116:$S$144,5)*30+D60</f>
        <v>309400.20634444972</v>
      </c>
      <c r="E45" s="112">
        <f>+'EXHIBIT C'!F11</f>
        <v>387143.37</v>
      </c>
      <c r="F45" s="621">
        <f t="shared" si="0"/>
        <v>0.2512705617558646</v>
      </c>
      <c r="G45" s="622" t="str">
        <f t="shared" si="1"/>
        <v>YES</v>
      </c>
      <c r="H45" s="82"/>
    </row>
    <row r="46" spans="1:8" ht="20.100000000000001" customHeight="1">
      <c r="C46" s="623" t="s">
        <v>124</v>
      </c>
      <c r="D46" s="624">
        <f>VLOOKUP($D$7,VLOOKUP!$A$116:$S$144,8)*30</f>
        <v>149994.29807539994</v>
      </c>
      <c r="E46" s="625">
        <f>+'EXHIBIT C'!F12</f>
        <v>183082.66</v>
      </c>
      <c r="F46" s="621">
        <f t="shared" si="0"/>
        <v>0.22059746503141753</v>
      </c>
      <c r="G46" s="622" t="str">
        <f t="shared" si="1"/>
        <v>YES</v>
      </c>
      <c r="H46" s="82"/>
    </row>
    <row r="47" spans="1:8" ht="20.100000000000001" customHeight="1">
      <c r="C47" s="623" t="s">
        <v>74</v>
      </c>
      <c r="D47" s="624">
        <f>VLOOKUP($D$7,VLOOKUP!$A$116:$S$144,17)*30</f>
        <v>8325.8287292817677</v>
      </c>
      <c r="E47" s="625">
        <f>+'EXHIBIT C'!F13</f>
        <v>12039.71</v>
      </c>
      <c r="F47" s="621">
        <f t="shared" si="0"/>
        <v>0.44606745964597949</v>
      </c>
      <c r="G47" s="622" t="str">
        <f t="shared" si="1"/>
        <v>YES</v>
      </c>
      <c r="H47" s="82"/>
    </row>
    <row r="48" spans="1:8" ht="20.100000000000001" customHeight="1">
      <c r="C48" s="623" t="s">
        <v>125</v>
      </c>
      <c r="D48" s="624">
        <f>VLOOKUP($D$7,VLOOKUP!$A$116:$S$144,11)*30</f>
        <v>25773.47113594041</v>
      </c>
      <c r="E48" s="625">
        <f>+'EXHIBIT C'!F14</f>
        <v>33648.230000000003</v>
      </c>
      <c r="F48" s="621">
        <f t="shared" si="0"/>
        <v>0.30553738076352688</v>
      </c>
      <c r="G48" s="622" t="str">
        <f t="shared" si="1"/>
        <v>YES</v>
      </c>
      <c r="H48" s="82"/>
    </row>
    <row r="49" spans="3:8" ht="20.100000000000001" customHeight="1" thickBot="1">
      <c r="C49" s="626" t="s">
        <v>126</v>
      </c>
      <c r="D49" s="627">
        <f>VLOOKUP($D$7,VLOOKUP!$A$116:$S$144,14)*30</f>
        <v>600</v>
      </c>
      <c r="E49" s="628">
        <f>+'EXHIBIT C'!F15</f>
        <v>633.92999999999995</v>
      </c>
      <c r="F49" s="629">
        <f t="shared" si="0"/>
        <v>5.6549999999999878E-2</v>
      </c>
      <c r="G49" s="630" t="str">
        <f t="shared" si="1"/>
        <v>YES</v>
      </c>
      <c r="H49" s="82"/>
    </row>
    <row r="50" spans="3:8" ht="20.100000000000001" customHeight="1" thickBot="1">
      <c r="C50" s="113" t="s">
        <v>47</v>
      </c>
      <c r="D50" s="114">
        <f>SUM(D44:D49)</f>
        <v>498293.80428507185</v>
      </c>
      <c r="E50" s="115">
        <f>+'EXHIBIT C'!F17</f>
        <v>621232.51</v>
      </c>
      <c r="F50" s="116">
        <f t="shared" si="0"/>
        <v>0.24671931430356575</v>
      </c>
      <c r="G50" s="117" t="str">
        <f t="shared" si="1"/>
        <v>YES</v>
      </c>
      <c r="H50" s="82"/>
    </row>
    <row r="51" spans="3:8" ht="46.5" customHeight="1" thickBot="1">
      <c r="C51" s="871" t="s">
        <v>127</v>
      </c>
      <c r="D51" s="872"/>
      <c r="E51" s="872"/>
      <c r="F51" s="872"/>
      <c r="G51" s="873"/>
      <c r="H51" s="82"/>
    </row>
    <row r="52" spans="3:8" ht="24.6" customHeight="1" thickBot="1">
      <c r="C52" s="795" t="s">
        <v>693</v>
      </c>
      <c r="D52" s="796"/>
      <c r="E52" s="796"/>
      <c r="F52" s="796"/>
      <c r="G52" s="797"/>
      <c r="H52" s="118"/>
    </row>
    <row r="53" spans="3:8" ht="205.5" customHeight="1" thickBot="1">
      <c r="C53" s="1045" t="s">
        <v>795</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0</v>
      </c>
      <c r="F59" s="632" t="str">
        <f t="shared" ref="F59:F65" si="2">IF(D59=0,"0",(E59/D59-1))</f>
        <v>0</v>
      </c>
      <c r="G59" s="633" t="str">
        <f>IF(OR(F59&gt;5%, F59&lt;-5%),"YES","NO")</f>
        <v>NO</v>
      </c>
    </row>
    <row r="60" spans="3:8" ht="20.100000000000001" customHeight="1">
      <c r="C60" s="111" t="s">
        <v>123</v>
      </c>
      <c r="D60" s="631">
        <f>VLOOKUP($D$7,VLOOKUP!$A$116:$S$144,6)*30</f>
        <v>18003.969005522496</v>
      </c>
      <c r="E60" s="125">
        <f>+'EXHIBIT C'!D20</f>
        <v>32963.483999999997</v>
      </c>
      <c r="F60" s="632">
        <f t="shared" si="2"/>
        <v>0.83090095244492224</v>
      </c>
      <c r="G60" s="633" t="str">
        <f t="shared" ref="G60:G65" si="3">IF(OR(F60&gt;5%, F60&lt;-5%),"YES","NO")</f>
        <v>YES</v>
      </c>
      <c r="H60" s="82"/>
    </row>
    <row r="61" spans="3:8" ht="20.100000000000001" customHeight="1">
      <c r="C61" s="623" t="s">
        <v>124</v>
      </c>
      <c r="D61" s="634">
        <f>VLOOKUP($D$7,VLOOKUP!$A$116:$S$144,9)*30</f>
        <v>8350.5823301124674</v>
      </c>
      <c r="E61" s="635">
        <f>+'EXHIBIT C'!D21</f>
        <v>12979.216</v>
      </c>
      <c r="F61" s="632">
        <f t="shared" si="2"/>
        <v>0.55428872944543417</v>
      </c>
      <c r="G61" s="633" t="str">
        <f t="shared" si="3"/>
        <v>YES</v>
      </c>
      <c r="H61" s="82"/>
    </row>
    <row r="62" spans="3:8" ht="20.100000000000001" customHeight="1">
      <c r="C62" s="623" t="s">
        <v>74</v>
      </c>
      <c r="D62" s="634">
        <f>VLOOKUP($D$7,VLOOKUP!$A$116:$S$144,18)*30</f>
        <v>194.17127071823202</v>
      </c>
      <c r="E62" s="635">
        <f>+'EXHIBIT C'!D22</f>
        <v>424.14299999999997</v>
      </c>
      <c r="F62" s="632">
        <f t="shared" si="2"/>
        <v>1.1843756722151091</v>
      </c>
      <c r="G62" s="633" t="str">
        <f t="shared" si="3"/>
        <v>YES</v>
      </c>
      <c r="H62" s="82"/>
    </row>
    <row r="63" spans="3:8" ht="20.100000000000001" customHeight="1">
      <c r="C63" s="623" t="s">
        <v>125</v>
      </c>
      <c r="D63" s="634">
        <f>VLOOKUP($D$7,VLOOKUP!$A$116:$S$144,12)*30</f>
        <v>4136.52886405959</v>
      </c>
      <c r="E63" s="635">
        <f>+'EXHIBIT C'!D23</f>
        <v>5262.0680000000002</v>
      </c>
      <c r="F63" s="632">
        <f t="shared" si="2"/>
        <v>0.27209749355787305</v>
      </c>
      <c r="G63" s="633" t="str">
        <f t="shared" si="3"/>
        <v>YES</v>
      </c>
      <c r="H63" s="82"/>
    </row>
    <row r="64" spans="3:8" ht="20.100000000000001" customHeight="1" thickBot="1">
      <c r="C64" s="626" t="s">
        <v>126</v>
      </c>
      <c r="D64" s="636">
        <f>VLOOKUP($D$7,VLOOKUP!$A$116:$S$144,15)*30</f>
        <v>0</v>
      </c>
      <c r="E64" s="637">
        <f>+'EXHIBIT C'!D24</f>
        <v>16.559999999999999</v>
      </c>
      <c r="F64" s="638" t="str">
        <f t="shared" si="2"/>
        <v>0</v>
      </c>
      <c r="G64" s="639" t="str">
        <f t="shared" si="3"/>
        <v>NO</v>
      </c>
      <c r="H64" s="82"/>
    </row>
    <row r="65" spans="1:8" ht="20.100000000000001" customHeight="1" thickBot="1">
      <c r="C65" s="113" t="s">
        <v>47</v>
      </c>
      <c r="D65" s="126">
        <f>SUM(D59:D64)</f>
        <v>30685.251470412783</v>
      </c>
      <c r="E65" s="127">
        <f>SUM(E59:E64)</f>
        <v>51645.47099999999</v>
      </c>
      <c r="F65" s="128">
        <f t="shared" si="2"/>
        <v>0.68307146023546172</v>
      </c>
      <c r="G65" s="129" t="str">
        <f t="shared" si="3"/>
        <v>YES</v>
      </c>
      <c r="H65" s="82"/>
    </row>
    <row r="66" spans="1:8" ht="42" customHeight="1" thickBot="1">
      <c r="C66" s="871" t="s">
        <v>132</v>
      </c>
      <c r="D66" s="872"/>
      <c r="E66" s="872"/>
      <c r="F66" s="872"/>
      <c r="G66" s="873"/>
      <c r="H66" s="82"/>
    </row>
    <row r="67" spans="1:8" ht="24.6" customHeight="1" thickBot="1">
      <c r="A67" s="92"/>
      <c r="B67" s="92"/>
      <c r="C67" s="792" t="s">
        <v>693</v>
      </c>
      <c r="D67" s="793"/>
      <c r="E67" s="793"/>
      <c r="F67" s="793"/>
      <c r="G67" s="794"/>
      <c r="H67" s="82"/>
    </row>
    <row r="68" spans="1:8" ht="227.25" customHeight="1" thickBot="1">
      <c r="A68" s="92"/>
      <c r="B68" s="92"/>
      <c r="C68" s="1048" t="s">
        <v>795</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78745180</v>
      </c>
      <c r="E84" s="1086">
        <f>+'EXHIBIT D'!G77</f>
        <v>78745180</v>
      </c>
      <c r="F84" s="1086">
        <f>D84-E84</f>
        <v>0</v>
      </c>
      <c r="G84" s="82"/>
      <c r="H84" s="82"/>
    </row>
    <row r="85" spans="1:8" ht="20.100000000000001" customHeight="1">
      <c r="A85" s="92"/>
      <c r="B85" s="92"/>
      <c r="C85" s="642" t="s">
        <v>147</v>
      </c>
      <c r="D85" s="641">
        <f>VLOOKUP($D$7,VLOOKUP!$A$157:$B$185,2)</f>
        <v>1508154</v>
      </c>
      <c r="E85" s="1086">
        <f>'EXHIBIT D'!G79</f>
        <v>1508154</v>
      </c>
      <c r="F85" s="1086">
        <f>D85-E85</f>
        <v>0</v>
      </c>
      <c r="G85" s="82"/>
      <c r="H85" s="82"/>
    </row>
    <row r="86" spans="1:8" ht="20.100000000000001" customHeight="1">
      <c r="A86" s="92"/>
      <c r="B86" s="92"/>
      <c r="C86" s="642" t="s">
        <v>148</v>
      </c>
      <c r="D86" s="641">
        <f>VLOOKUP($D$7,VLOOKUP!$A$7:$E$35,3)</f>
        <v>12203027</v>
      </c>
      <c r="E86" s="1086">
        <f>'EXHIBIT D'!G82</f>
        <v>12203027</v>
      </c>
      <c r="F86" s="1086">
        <f>D86-E86</f>
        <v>0</v>
      </c>
      <c r="G86" s="82"/>
      <c r="H86" s="82"/>
    </row>
    <row r="87" spans="1:8" ht="20.100000000000001" customHeight="1" thickBot="1">
      <c r="A87" s="91"/>
      <c r="B87" s="91"/>
      <c r="C87" s="137" t="s">
        <v>679</v>
      </c>
      <c r="D87" s="641">
        <f>VLOOKUP($D$7,VLOOKUP!$A$192:$B$220,2)</f>
        <v>1186213</v>
      </c>
      <c r="E87" s="1087">
        <f>'EXHIBIT D'!G78</f>
        <v>1186213</v>
      </c>
      <c r="F87" s="1086">
        <f>D87-E87</f>
        <v>0</v>
      </c>
      <c r="G87" s="82"/>
      <c r="H87" s="82"/>
    </row>
    <row r="88" spans="1:8" ht="20.100000000000001" customHeight="1" thickBot="1">
      <c r="A88" s="91"/>
      <c r="B88" s="91"/>
      <c r="C88" s="138" t="s">
        <v>149</v>
      </c>
      <c r="D88" s="139">
        <f>SUM(D84:D87)</f>
        <v>93642574</v>
      </c>
      <c r="E88" s="139">
        <f>SUM(E84:E87)</f>
        <v>93642574</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764</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46582868</v>
      </c>
      <c r="D101" s="786" t="s">
        <v>727</v>
      </c>
      <c r="E101" s="786"/>
      <c r="F101" s="786"/>
      <c r="G101" s="82"/>
      <c r="H101" s="82"/>
    </row>
    <row r="102" spans="1:8" ht="20.100000000000001" customHeight="1">
      <c r="A102" s="89"/>
      <c r="B102" s="89"/>
      <c r="C102" s="644">
        <f>'EXHIBIT D'!G266-'EXHIBIT D'!G252-'EXHIBIT D'!G264</f>
        <v>46582868</v>
      </c>
      <c r="D102" s="788" t="s">
        <v>728</v>
      </c>
      <c r="E102" s="788"/>
      <c r="F102" s="788"/>
      <c r="G102" s="82"/>
      <c r="H102" s="82"/>
    </row>
    <row r="103" spans="1:8" ht="66.599999999999994" customHeight="1">
      <c r="A103" s="145"/>
      <c r="B103" s="145"/>
      <c r="C103" s="645">
        <f>C101-C102</f>
        <v>0</v>
      </c>
      <c r="D103" s="876" t="s">
        <v>686</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690</v>
      </c>
      <c r="D106" s="869"/>
      <c r="E106" s="869"/>
      <c r="F106" s="869"/>
      <c r="G106" s="869"/>
      <c r="H106" s="787"/>
    </row>
    <row r="107" spans="1:8" ht="20.100000000000001" customHeight="1">
      <c r="A107" s="145"/>
      <c r="B107" s="145"/>
    </row>
    <row r="108" spans="1:8" ht="24.75" customHeight="1">
      <c r="A108" s="145"/>
      <c r="B108" s="145"/>
      <c r="C108" s="148">
        <f>'EXHIBIT A'!E14</f>
        <v>60857514</v>
      </c>
      <c r="D108" s="11" t="s">
        <v>729</v>
      </c>
    </row>
    <row r="109" spans="1:8" ht="26.25" customHeight="1">
      <c r="A109" s="145"/>
      <c r="B109" s="145"/>
      <c r="C109" s="646">
        <f>'EXHIBIT A'!E36</f>
        <v>60857514</v>
      </c>
      <c r="D109" s="11" t="s">
        <v>730</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687</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91.789924881687057</v>
      </c>
      <c r="D119" s="11" t="s">
        <v>78</v>
      </c>
    </row>
    <row r="120" spans="1:8" ht="20.100000000000001" customHeight="1">
      <c r="C120" s="151"/>
    </row>
    <row r="121" spans="1:8" ht="20.100000000000001" customHeight="1">
      <c r="C121" s="152" t="str">
        <f>IF('EXHIBIT G'!D118=0,"No Credit Hours or Not Applicable",('EXHIBIT G'!D118/'EXHIBIT C'!D19))</f>
        <v>No Credit Hours or Not Applicable</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688</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689</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713</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694</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732</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Hillsborough College</v>
      </c>
      <c r="D8" s="803"/>
      <c r="E8" s="803"/>
      <c r="F8" s="273"/>
      <c r="G8" s="273"/>
    </row>
    <row r="9" spans="2:7" ht="25.35" customHeight="1"/>
    <row r="10" spans="2:7" ht="41.45" customHeight="1">
      <c r="E10" s="554" t="s">
        <v>170</v>
      </c>
    </row>
    <row r="11" spans="2:7" ht="25.35" customHeight="1">
      <c r="B11" s="22" t="s">
        <v>733</v>
      </c>
      <c r="D11" s="22"/>
      <c r="E11" s="155"/>
    </row>
    <row r="12" spans="2:7" ht="25.35" customHeight="1">
      <c r="B12" s="22"/>
      <c r="C12" s="22"/>
      <c r="D12" s="22"/>
    </row>
    <row r="13" spans="2:7" ht="25.35" customHeight="1">
      <c r="B13" s="11" t="s">
        <v>734</v>
      </c>
      <c r="C13" s="22"/>
      <c r="D13" s="22"/>
      <c r="E13" s="1094">
        <v>-11774646</v>
      </c>
    </row>
    <row r="14" spans="2:7" ht="25.35" customHeight="1">
      <c r="B14" s="11" t="s">
        <v>171</v>
      </c>
      <c r="D14" s="22"/>
      <c r="E14" s="1157">
        <v>60857514</v>
      </c>
    </row>
    <row r="15" spans="2:7" ht="25.35" customHeight="1">
      <c r="B15" s="22"/>
      <c r="D15" s="22"/>
      <c r="E15" s="156"/>
    </row>
    <row r="16" spans="2:7" ht="25.35" customHeight="1">
      <c r="B16" s="11" t="s">
        <v>735</v>
      </c>
      <c r="C16" s="22"/>
      <c r="D16" s="22"/>
      <c r="E16" s="555">
        <f>+E14+E13</f>
        <v>49082868</v>
      </c>
    </row>
    <row r="17" spans="2:7" ht="25.35" customHeight="1">
      <c r="B17" s="22"/>
      <c r="C17" s="22"/>
      <c r="D17" s="22"/>
      <c r="E17" s="157"/>
    </row>
    <row r="18" spans="2:7" ht="25.35" customHeight="1">
      <c r="B18" s="11" t="s">
        <v>172</v>
      </c>
      <c r="C18" s="22"/>
      <c r="D18" s="22"/>
      <c r="E18" s="167">
        <f>+'EXHIBIT D'!G143-SUM(+'EXHIBIT D'!G133+'EXHIBIT D'!G134)</f>
        <v>171709751</v>
      </c>
      <c r="G18" s="132"/>
    </row>
    <row r="19" spans="2:7" ht="25.35" customHeight="1">
      <c r="B19" s="11" t="s">
        <v>173</v>
      </c>
      <c r="D19" s="22"/>
      <c r="E19" s="555">
        <f>+'EXHIBIT D'!G133+'EXHIBIT D'!G134</f>
        <v>100000</v>
      </c>
    </row>
    <row r="20" spans="2:7" ht="25.35" customHeight="1">
      <c r="B20" s="22"/>
      <c r="D20" s="22"/>
      <c r="E20" s="162"/>
    </row>
    <row r="21" spans="2:7" ht="25.35" customHeight="1">
      <c r="B21" s="11" t="s">
        <v>174</v>
      </c>
      <c r="C21" s="22"/>
      <c r="D21" s="22"/>
      <c r="E21" s="556">
        <f>+E19+E18</f>
        <v>171809751</v>
      </c>
    </row>
    <row r="22" spans="2:7" ht="25.35" customHeight="1">
      <c r="B22" s="22"/>
      <c r="C22" s="22"/>
      <c r="D22" s="22"/>
      <c r="E22" s="162"/>
    </row>
    <row r="23" spans="2:7" ht="25.35" customHeight="1">
      <c r="B23" s="22" t="s">
        <v>175</v>
      </c>
      <c r="C23" s="22"/>
      <c r="D23" s="22"/>
      <c r="E23" s="556">
        <f>+E21+E16</f>
        <v>220892619</v>
      </c>
    </row>
    <row r="24" spans="2:7" ht="25.35" customHeight="1">
      <c r="B24" s="22"/>
      <c r="C24" s="22"/>
      <c r="D24" s="22"/>
      <c r="E24" s="162"/>
    </row>
    <row r="25" spans="2:7" ht="25.35" customHeight="1">
      <c r="B25" s="11" t="s">
        <v>176</v>
      </c>
      <c r="C25" s="22"/>
      <c r="D25" s="22"/>
      <c r="E25" s="168">
        <f>'EXHIBIT D'!G248-SUM(+'EXHIBIT D'!G222+'EXHIBIT D'!G223)</f>
        <v>171509751</v>
      </c>
    </row>
    <row r="26" spans="2:7" ht="25.35" customHeight="1">
      <c r="B26" s="11" t="s">
        <v>177</v>
      </c>
      <c r="D26" s="22"/>
      <c r="E26" s="555">
        <f>'EXHIBIT D'!G222+'EXHIBIT D'!G223</f>
        <v>300000</v>
      </c>
    </row>
    <row r="27" spans="2:7" ht="25.35" customHeight="1">
      <c r="B27" s="22"/>
      <c r="D27" s="22"/>
      <c r="E27" s="162"/>
    </row>
    <row r="28" spans="2:7" ht="25.35" customHeight="1">
      <c r="B28" s="22" t="s">
        <v>178</v>
      </c>
      <c r="C28" s="22"/>
      <c r="D28" s="22"/>
      <c r="E28" s="557">
        <f>+E26+E25</f>
        <v>171809751</v>
      </c>
    </row>
    <row r="29" spans="2:7" ht="25.35" customHeight="1">
      <c r="B29" s="22"/>
      <c r="C29" s="22"/>
      <c r="D29" s="22"/>
      <c r="E29" s="158"/>
    </row>
    <row r="30" spans="2:7" ht="25.35" customHeight="1">
      <c r="B30" s="22" t="s">
        <v>736</v>
      </c>
      <c r="C30" s="22"/>
      <c r="D30" s="22"/>
      <c r="E30" s="158"/>
    </row>
    <row r="31" spans="2:7" ht="25.35" customHeight="1">
      <c r="B31" s="22"/>
      <c r="C31" s="22"/>
      <c r="D31" s="22"/>
      <c r="E31" s="158"/>
    </row>
    <row r="32" spans="2:7" ht="25.35" customHeight="1">
      <c r="B32" s="11" t="s">
        <v>179</v>
      </c>
      <c r="C32" s="22"/>
      <c r="D32" s="159">
        <f>+E23-E28</f>
        <v>49082868</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737</v>
      </c>
      <c r="C35" s="22"/>
      <c r="D35" s="22"/>
      <c r="E35" s="161">
        <f>+D32+D33</f>
        <v>49082868</v>
      </c>
    </row>
    <row r="36" spans="2:10" ht="25.35" customHeight="1">
      <c r="B36" s="11" t="s">
        <v>738</v>
      </c>
      <c r="C36" s="22"/>
      <c r="D36" s="22"/>
      <c r="E36" s="556">
        <f>-'EXHIBIT D'!G264</f>
        <v>60857514</v>
      </c>
      <c r="J36" s="42"/>
    </row>
    <row r="37" spans="2:10" ht="25.35" customHeight="1">
      <c r="D37" s="22"/>
      <c r="E37" s="161"/>
    </row>
    <row r="38" spans="2:10" ht="25.35" customHeight="1">
      <c r="B38" s="22" t="s">
        <v>739</v>
      </c>
      <c r="D38" s="22"/>
      <c r="E38" s="555">
        <f>+E35-E36</f>
        <v>-11774646</v>
      </c>
    </row>
    <row r="39" spans="2:10" ht="25.35" customHeight="1">
      <c r="B39" s="22"/>
      <c r="C39" s="22"/>
      <c r="D39" s="22"/>
      <c r="E39" s="162"/>
    </row>
    <row r="40" spans="2:10" ht="25.35" customHeight="1">
      <c r="B40" s="11" t="s">
        <v>740</v>
      </c>
      <c r="C40" s="22"/>
      <c r="D40" s="22"/>
      <c r="E40" s="557">
        <f>'EXHIBIT D'!G253+'EXHIBIT D'!G254+'EXHIBIT D'!G255+'EXHIBIT D'!G256+'EXHIBIT D'!G257+'EXHIBIT D'!G258+'EXHIBIT D'!G259+'EXHIBIT D'!G260</f>
        <v>46582868</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741</v>
      </c>
      <c r="C44" s="22"/>
      <c r="D44" s="22"/>
      <c r="E44" s="559">
        <f>+E40/E23</f>
        <v>0.210884674240745</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vY5Evb6vnIhRVVp7qv16DIH3hrsvC3Q0/ykPnabsZE1H+VLxojROf8xU1Fi69Ufgz1c6i6SKqH+cTYlELos9Ww==" saltValue="wTfzLhDAcX4Qxi/K5+kw9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70" zoomScaleNormal="70" zoomScalePageLayoutView="50" workbookViewId="0">
      <selection activeCell="K13" sqref="K13"/>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742</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Hillsborough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15.39</v>
      </c>
      <c r="F14" s="928">
        <v>4.59</v>
      </c>
      <c r="G14" s="649">
        <f>SUM(B14:F14)</f>
        <v>125.54</v>
      </c>
      <c r="H14" s="355">
        <f>G14*30</f>
        <v>3766.2000000000003</v>
      </c>
    </row>
    <row r="15" spans="1:18" s="11" customFormat="1" ht="20.100000000000001" customHeight="1">
      <c r="A15" s="22" t="s">
        <v>198</v>
      </c>
      <c r="B15" s="929">
        <v>80.45</v>
      </c>
      <c r="C15" s="929">
        <v>4.03</v>
      </c>
      <c r="D15" s="929">
        <v>7.23</v>
      </c>
      <c r="E15" s="929">
        <v>8.23</v>
      </c>
      <c r="F15" s="929">
        <v>3.91</v>
      </c>
      <c r="G15" s="649">
        <f>SUM(B15:F15)</f>
        <v>103.85000000000001</v>
      </c>
      <c r="H15" s="328">
        <f>G15*30</f>
        <v>3115.5000000000005</v>
      </c>
    </row>
    <row r="16" spans="1:18" s="11" customFormat="1" ht="20.100000000000001" customHeight="1" thickBot="1">
      <c r="A16" s="22" t="s">
        <v>74</v>
      </c>
      <c r="B16" s="930">
        <v>71.510000000000005</v>
      </c>
      <c r="C16" s="930">
        <v>0</v>
      </c>
      <c r="D16" s="931"/>
      <c r="E16" s="930">
        <v>3.57</v>
      </c>
      <c r="F16" s="930">
        <v>3.47</v>
      </c>
      <c r="G16" s="329">
        <f>SUM(B16:F16)</f>
        <v>78.55</v>
      </c>
      <c r="H16" s="650">
        <f>G16*30</f>
        <v>2356.5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292.04000000000002</v>
      </c>
      <c r="D29" s="928">
        <v>19.190000000000001</v>
      </c>
      <c r="E29" s="515">
        <f>D14</f>
        <v>9.18</v>
      </c>
      <c r="F29" s="928">
        <v>44.84</v>
      </c>
      <c r="G29" s="928">
        <v>19.190000000000001</v>
      </c>
      <c r="H29" s="336">
        <f>SUM(B29:G29)</f>
        <v>476.23000000000008</v>
      </c>
      <c r="I29" s="349">
        <f>H29*30</f>
        <v>14286.900000000001</v>
      </c>
    </row>
    <row r="30" spans="1:11" s="11" customFormat="1" ht="20.100000000000001" customHeight="1">
      <c r="A30" s="22" t="str">
        <f t="shared" si="0"/>
        <v>LOWER LEVEL - CREDIT (A &amp; P, PSV, DEVELOPMENTAL EDUCATION AND EPI)</v>
      </c>
      <c r="B30" s="653">
        <f t="shared" si="0"/>
        <v>80.45</v>
      </c>
      <c r="C30" s="932">
        <v>241.54</v>
      </c>
      <c r="D30" s="932">
        <v>16.100000000000001</v>
      </c>
      <c r="E30" s="654">
        <f>D15</f>
        <v>7.23</v>
      </c>
      <c r="F30" s="932">
        <v>18.12</v>
      </c>
      <c r="G30" s="932">
        <v>15.63</v>
      </c>
      <c r="H30" s="649">
        <f>SUM(B30:G30)</f>
        <v>379.07000000000005</v>
      </c>
      <c r="I30" s="328">
        <f>H30*30</f>
        <v>11372.100000000002</v>
      </c>
    </row>
    <row r="31" spans="1:11" s="11" customFormat="1" ht="20.100000000000001" customHeight="1">
      <c r="A31" s="22" t="str">
        <f t="shared" si="0"/>
        <v>CAREER CERTIFICATE AND APPLIED TECHNOLOGY DIPLOMA</v>
      </c>
      <c r="B31" s="1106">
        <f t="shared" si="0"/>
        <v>71.510000000000005</v>
      </c>
      <c r="C31" s="929">
        <v>214.55</v>
      </c>
      <c r="D31" s="929">
        <v>0</v>
      </c>
      <c r="E31" s="1107"/>
      <c r="F31" s="929">
        <v>14.3</v>
      </c>
      <c r="G31" s="929">
        <v>13.89</v>
      </c>
      <c r="H31" s="1108">
        <f>SUM(B31:G31)</f>
        <v>314.25</v>
      </c>
      <c r="I31" s="1108">
        <f>H31*30</f>
        <v>9427.5</v>
      </c>
    </row>
    <row r="32" spans="1:11" s="11" customFormat="1" ht="20.100000000000001" customHeight="1" thickBot="1">
      <c r="A32" s="22" t="s">
        <v>706</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705</v>
      </c>
      <c r="B41" s="882"/>
      <c r="C41" s="882"/>
      <c r="D41" s="882"/>
      <c r="E41" s="882"/>
      <c r="F41" s="882"/>
      <c r="G41" s="882"/>
      <c r="H41" s="882"/>
      <c r="I41" s="882"/>
      <c r="J41" s="169"/>
    </row>
    <row r="42" spans="1:11" ht="20.25" customHeight="1">
      <c r="A42" s="11" t="s">
        <v>743</v>
      </c>
      <c r="B42" s="171"/>
      <c r="C42" s="171"/>
      <c r="D42" s="171"/>
      <c r="E42" s="171"/>
      <c r="F42" s="171"/>
      <c r="G42" s="171"/>
      <c r="H42" s="171"/>
      <c r="I42" s="171"/>
    </row>
    <row r="43" spans="1:11" ht="20.25" customHeight="1">
      <c r="A43" s="11" t="s">
        <v>707</v>
      </c>
      <c r="B43" s="171"/>
      <c r="C43" s="171"/>
      <c r="D43" s="171"/>
      <c r="E43" s="171"/>
      <c r="F43" s="171"/>
      <c r="G43" s="171"/>
      <c r="H43" s="171"/>
      <c r="I43" s="171"/>
    </row>
    <row r="44" spans="1:11" ht="20.25" customHeight="1">
      <c r="A44" s="11" t="s">
        <v>711</v>
      </c>
      <c r="B44" s="171"/>
      <c r="C44" s="171"/>
      <c r="D44" s="171"/>
      <c r="E44" s="171"/>
      <c r="F44" s="171"/>
      <c r="G44" s="171"/>
      <c r="H44" s="171"/>
      <c r="I44" s="171"/>
    </row>
    <row r="45" spans="1:11" ht="20.25" customHeight="1">
      <c r="A45" s="11" t="s">
        <v>708</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B65" sqref="B65"/>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744</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Hillsborough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4684.6099999999997</v>
      </c>
      <c r="E10" s="518">
        <v>0</v>
      </c>
      <c r="F10" s="519">
        <f t="shared" ref="F10:F15" si="0">+D10-E10</f>
        <v>4684.6099999999997</v>
      </c>
      <c r="G10" s="519">
        <f>'EXHIBIT B'!B14</f>
        <v>91.79</v>
      </c>
      <c r="H10" s="1156">
        <f>ROUND(+F10*G10,0)</f>
        <v>430000</v>
      </c>
    </row>
    <row r="11" spans="1:9" ht="20.100000000000001" customHeight="1">
      <c r="A11" s="660" t="s">
        <v>191</v>
      </c>
      <c r="B11" s="660" t="s">
        <v>123</v>
      </c>
      <c r="C11" s="661" t="s">
        <v>218</v>
      </c>
      <c r="D11" s="659">
        <v>387143.37</v>
      </c>
      <c r="E11" s="659">
        <v>0</v>
      </c>
      <c r="F11" s="662">
        <f t="shared" si="0"/>
        <v>387143.37</v>
      </c>
      <c r="G11" s="662">
        <f>+'EXHIBIT B'!B15</f>
        <v>80.45</v>
      </c>
      <c r="H11" s="663">
        <f t="shared" ref="H11:H15" si="1">ROUND(+F11*G11,0)</f>
        <v>31145684</v>
      </c>
    </row>
    <row r="12" spans="1:9" ht="20.100000000000001" customHeight="1">
      <c r="A12" s="660" t="s">
        <v>191</v>
      </c>
      <c r="B12" s="660" t="s">
        <v>124</v>
      </c>
      <c r="C12" s="661" t="s">
        <v>219</v>
      </c>
      <c r="D12" s="659">
        <v>183082.66</v>
      </c>
      <c r="E12" s="659">
        <v>0</v>
      </c>
      <c r="F12" s="662">
        <f t="shared" si="0"/>
        <v>183082.66</v>
      </c>
      <c r="G12" s="662">
        <f>+'EXHIBIT B'!B15</f>
        <v>80.45</v>
      </c>
      <c r="H12" s="663">
        <f t="shared" si="1"/>
        <v>14729000</v>
      </c>
    </row>
    <row r="13" spans="1:9" ht="20.100000000000001" customHeight="1">
      <c r="A13" s="660" t="s">
        <v>191</v>
      </c>
      <c r="B13" s="660" t="s">
        <v>74</v>
      </c>
      <c r="C13" s="661" t="s">
        <v>220</v>
      </c>
      <c r="D13" s="664">
        <v>12039.71</v>
      </c>
      <c r="E13" s="664">
        <v>0</v>
      </c>
      <c r="F13" s="662">
        <f t="shared" si="0"/>
        <v>12039.71</v>
      </c>
      <c r="G13" s="662">
        <f>+'EXHIBIT B'!B16</f>
        <v>71.510000000000005</v>
      </c>
      <c r="H13" s="663">
        <f t="shared" si="1"/>
        <v>860960</v>
      </c>
    </row>
    <row r="14" spans="1:9" ht="20.100000000000001" customHeight="1">
      <c r="A14" s="660" t="s">
        <v>191</v>
      </c>
      <c r="B14" s="660" t="s">
        <v>125</v>
      </c>
      <c r="C14" s="661" t="s">
        <v>221</v>
      </c>
      <c r="D14" s="659">
        <v>33648.230000000003</v>
      </c>
      <c r="E14" s="659">
        <v>0</v>
      </c>
      <c r="F14" s="662">
        <f t="shared" si="0"/>
        <v>33648.230000000003</v>
      </c>
      <c r="G14" s="662">
        <f>+'EXHIBIT B'!B15</f>
        <v>80.45</v>
      </c>
      <c r="H14" s="663">
        <f t="shared" si="1"/>
        <v>2707000</v>
      </c>
    </row>
    <row r="15" spans="1:9" ht="20.100000000000001" customHeight="1" thickBot="1">
      <c r="A15" s="665" t="s">
        <v>191</v>
      </c>
      <c r="B15" s="665" t="s">
        <v>126</v>
      </c>
      <c r="C15" s="666">
        <v>40160</v>
      </c>
      <c r="D15" s="667">
        <v>633.92999999999995</v>
      </c>
      <c r="E15" s="667">
        <v>0</v>
      </c>
      <c r="F15" s="668">
        <f t="shared" si="0"/>
        <v>633.92999999999995</v>
      </c>
      <c r="G15" s="668">
        <f>+'EXHIBIT B'!B15</f>
        <v>80.45</v>
      </c>
      <c r="H15" s="669">
        <f t="shared" si="1"/>
        <v>51000</v>
      </c>
    </row>
    <row r="16" spans="1:9" ht="24.95" customHeight="1" thickBot="1">
      <c r="A16" s="286"/>
      <c r="B16" s="286"/>
      <c r="C16" s="286"/>
      <c r="D16" s="287"/>
      <c r="E16" s="287"/>
      <c r="F16" s="288"/>
      <c r="G16" s="288"/>
      <c r="H16" s="289"/>
    </row>
    <row r="17" spans="1:9" ht="24.95" customHeight="1" thickBot="1">
      <c r="A17" s="290"/>
      <c r="B17" s="291" t="s">
        <v>222</v>
      </c>
      <c r="C17" s="291"/>
      <c r="D17" s="292">
        <f>SUM(D10:D15)</f>
        <v>621232.51</v>
      </c>
      <c r="E17" s="292">
        <f>SUM(E10:E15)</f>
        <v>0</v>
      </c>
      <c r="F17" s="293">
        <f>SUM(F10:F15)</f>
        <v>621232.51</v>
      </c>
      <c r="G17" s="293"/>
      <c r="H17" s="294">
        <f>SUM(H10:H15)</f>
        <v>49923644</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0</v>
      </c>
      <c r="E19" s="671">
        <f>'EXHIBIT B'!C29</f>
        <v>292.04000000000002</v>
      </c>
      <c r="F19" s="1155">
        <f t="shared" ref="F19:F25" si="2">ROUND(+D19*E19,0)</f>
        <v>0</v>
      </c>
      <c r="G19" s="296"/>
      <c r="H19" s="296"/>
    </row>
    <row r="20" spans="1:9" ht="20.100000000000001" customHeight="1">
      <c r="A20" s="611" t="s">
        <v>206</v>
      </c>
      <c r="B20" s="611" t="s">
        <v>123</v>
      </c>
      <c r="C20" s="672" t="s">
        <v>225</v>
      </c>
      <c r="D20" s="679">
        <v>32963.483999999997</v>
      </c>
      <c r="E20" s="673">
        <f>+'EXHIBIT B'!C30</f>
        <v>241.54</v>
      </c>
      <c r="F20" s="674">
        <f t="shared" si="2"/>
        <v>7962000</v>
      </c>
      <c r="G20" s="42"/>
      <c r="H20" s="42"/>
    </row>
    <row r="21" spans="1:9" ht="20.100000000000001" customHeight="1">
      <c r="A21" s="611" t="s">
        <v>206</v>
      </c>
      <c r="B21" s="611" t="s">
        <v>124</v>
      </c>
      <c r="C21" s="672" t="s">
        <v>226</v>
      </c>
      <c r="D21" s="679">
        <v>12979.216</v>
      </c>
      <c r="E21" s="673">
        <f>+'EXHIBIT B'!C30</f>
        <v>241.54</v>
      </c>
      <c r="F21" s="674">
        <f t="shared" si="2"/>
        <v>3135000</v>
      </c>
      <c r="G21" s="42"/>
      <c r="H21" s="42"/>
    </row>
    <row r="22" spans="1:9" ht="20.100000000000001" customHeight="1">
      <c r="A22" s="611" t="s">
        <v>206</v>
      </c>
      <c r="B22" s="611" t="s">
        <v>74</v>
      </c>
      <c r="C22" s="672" t="s">
        <v>227</v>
      </c>
      <c r="D22" s="679">
        <v>424.14299999999997</v>
      </c>
      <c r="E22" s="673">
        <f>+'EXHIBIT B'!C31</f>
        <v>214.55</v>
      </c>
      <c r="F22" s="674">
        <f t="shared" si="2"/>
        <v>91000</v>
      </c>
      <c r="G22" s="42"/>
      <c r="H22" s="42"/>
    </row>
    <row r="23" spans="1:9" ht="20.100000000000001" customHeight="1">
      <c r="A23" s="611" t="s">
        <v>206</v>
      </c>
      <c r="B23" s="611" t="s">
        <v>125</v>
      </c>
      <c r="C23" s="672" t="s">
        <v>228</v>
      </c>
      <c r="D23" s="679">
        <v>5262.0680000000002</v>
      </c>
      <c r="E23" s="673">
        <f>+'EXHIBIT B'!C30</f>
        <v>241.54</v>
      </c>
      <c r="F23" s="674">
        <f t="shared" si="2"/>
        <v>1271000</v>
      </c>
      <c r="G23" s="42"/>
      <c r="H23" s="42"/>
    </row>
    <row r="24" spans="1:9" ht="20.100000000000001" customHeight="1">
      <c r="A24" s="1017" t="s">
        <v>206</v>
      </c>
      <c r="B24" s="1017" t="s">
        <v>722</v>
      </c>
      <c r="C24" s="1111">
        <v>40360</v>
      </c>
      <c r="D24" s="1112">
        <v>16.559999999999999</v>
      </c>
      <c r="E24" s="1113">
        <f>+'EXHIBIT B'!C30</f>
        <v>241.54</v>
      </c>
      <c r="F24" s="1114">
        <f t="shared" si="2"/>
        <v>4000</v>
      </c>
      <c r="G24" s="42"/>
      <c r="H24" s="42"/>
    </row>
    <row r="25" spans="1:9" ht="20.100000000000001" customHeight="1" thickBot="1">
      <c r="A25" s="373" t="s">
        <v>206</v>
      </c>
      <c r="B25" s="373" t="s">
        <v>703</v>
      </c>
      <c r="C25" s="1109" t="s">
        <v>704</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51645.47099999999</v>
      </c>
      <c r="E27" s="677"/>
      <c r="F27" s="678">
        <f>SUM(F19:F25)</f>
        <v>12463000</v>
      </c>
      <c r="G27" s="300"/>
      <c r="H27" s="300"/>
    </row>
    <row r="28" spans="1:9" ht="20.100000000000001" customHeight="1" thickBot="1">
      <c r="A28" s="301" t="s">
        <v>229</v>
      </c>
      <c r="B28" s="301"/>
      <c r="C28" s="301"/>
      <c r="D28" s="301"/>
      <c r="E28" s="301"/>
      <c r="F28" s="302"/>
      <c r="G28" s="520"/>
      <c r="H28" s="303">
        <f>H17+F27</f>
        <v>62386644</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62386644</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696</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791</v>
      </c>
      <c r="B55" s="679">
        <v>300000</v>
      </c>
      <c r="C55" s="1092" t="s">
        <v>792</v>
      </c>
      <c r="D55" s="1093"/>
      <c r="E55" s="934" t="s">
        <v>793</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300000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671</v>
      </c>
      <c r="B64" s="1154">
        <v>100000</v>
      </c>
      <c r="C64" s="934" t="s">
        <v>671</v>
      </c>
      <c r="D64" s="935"/>
      <c r="E64" s="934" t="s">
        <v>794</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100000</v>
      </c>
      <c r="C70" s="944"/>
      <c r="D70" s="945"/>
      <c r="E70" s="944"/>
      <c r="F70" s="945"/>
    </row>
    <row r="71" spans="1:6" ht="24.95" customHeight="1" thickBot="1">
      <c r="A71" s="280" t="s">
        <v>254</v>
      </c>
      <c r="B71" s="281">
        <f>+B70+B61</f>
        <v>400000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Hillsborough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722</v>
      </c>
      <c r="C27" s="1118">
        <v>40360</v>
      </c>
      <c r="D27" s="1119">
        <v>0</v>
      </c>
      <c r="E27" s="1119">
        <v>0</v>
      </c>
    </row>
    <row r="28" spans="1:5" s="169" customFormat="1" ht="24.95" customHeight="1" thickBot="1">
      <c r="A28" s="1115" t="s">
        <v>206</v>
      </c>
      <c r="B28" s="1120" t="s">
        <v>703</v>
      </c>
      <c r="C28" s="410" t="s">
        <v>704</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zoomScale="80" zoomScaleNormal="80" zoomScaleSheetLayoutView="70" zoomScalePageLayoutView="70" workbookViewId="0"/>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Hillsborough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745</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430000</v>
      </c>
    </row>
    <row r="13" spans="1:8" ht="20.100000000000001" customHeight="1">
      <c r="A13" s="478" t="s">
        <v>191</v>
      </c>
      <c r="B13" s="176"/>
      <c r="C13" s="169" t="s">
        <v>123</v>
      </c>
      <c r="D13" s="176"/>
      <c r="E13" s="176"/>
      <c r="F13" s="180" t="s">
        <v>218</v>
      </c>
      <c r="G13" s="1146">
        <f>+'EXHIBIT C'!H11+'EXHIBIT C(2)'!E14</f>
        <v>31145684</v>
      </c>
    </row>
    <row r="14" spans="1:8" ht="20.100000000000001" customHeight="1">
      <c r="A14" s="478" t="s">
        <v>191</v>
      </c>
      <c r="B14" s="176"/>
      <c r="C14" s="176" t="s">
        <v>124</v>
      </c>
      <c r="D14" s="176"/>
      <c r="E14" s="176"/>
      <c r="F14" s="180" t="s">
        <v>219</v>
      </c>
      <c r="G14" s="1147">
        <f>+'EXHIBIT C'!H12+'EXHIBIT C(2)'!E15</f>
        <v>14729000</v>
      </c>
    </row>
    <row r="15" spans="1:8" ht="20.100000000000001" customHeight="1">
      <c r="A15" s="478" t="s">
        <v>191</v>
      </c>
      <c r="B15" s="176"/>
      <c r="C15" s="181" t="s">
        <v>271</v>
      </c>
      <c r="D15" s="176"/>
      <c r="E15" s="176"/>
      <c r="F15" s="180" t="s">
        <v>220</v>
      </c>
      <c r="G15" s="1147">
        <f>+'EXHIBIT C'!H13+'EXHIBIT C(2)'!E16</f>
        <v>860960</v>
      </c>
    </row>
    <row r="16" spans="1:8" ht="20.100000000000001" customHeight="1">
      <c r="A16" s="478" t="s">
        <v>191</v>
      </c>
      <c r="B16" s="176"/>
      <c r="C16" s="181" t="s">
        <v>272</v>
      </c>
      <c r="D16" s="176"/>
      <c r="E16" s="176"/>
      <c r="F16" s="180" t="s">
        <v>221</v>
      </c>
      <c r="G16" s="182">
        <f>+'EXHIBIT C'!H14+'EXHIBIT C(2)'!E17</f>
        <v>2707000</v>
      </c>
    </row>
    <row r="17" spans="1:7" ht="20.100000000000001" customHeight="1">
      <c r="A17" s="478" t="s">
        <v>191</v>
      </c>
      <c r="B17" s="176"/>
      <c r="C17" s="169" t="s">
        <v>126</v>
      </c>
      <c r="D17" s="176"/>
      <c r="E17" s="176"/>
      <c r="F17" s="179">
        <v>40160</v>
      </c>
      <c r="G17" s="182">
        <f>+'EXHIBIT C'!H15+'EXHIBIT C(2)'!E18</f>
        <v>51000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49923644</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0</v>
      </c>
    </row>
    <row r="22" spans="1:7" ht="20.100000000000001" customHeight="1">
      <c r="A22" s="478" t="s">
        <v>206</v>
      </c>
      <c r="B22" s="176"/>
      <c r="C22" s="169" t="s">
        <v>123</v>
      </c>
      <c r="D22" s="176"/>
      <c r="E22" s="176"/>
      <c r="F22" s="180" t="s">
        <v>225</v>
      </c>
      <c r="G22" s="1148">
        <f>+'EXHIBIT C'!F20+'EXHIBIT C(2)'!E23</f>
        <v>7962000</v>
      </c>
    </row>
    <row r="23" spans="1:7" ht="20.100000000000001" customHeight="1">
      <c r="A23" s="478" t="s">
        <v>206</v>
      </c>
      <c r="B23" s="176"/>
      <c r="C23" s="176" t="s">
        <v>124</v>
      </c>
      <c r="D23" s="176"/>
      <c r="E23" s="176"/>
      <c r="F23" s="180" t="s">
        <v>226</v>
      </c>
      <c r="G23" s="1149">
        <f>+'EXHIBIT C'!F21+'EXHIBIT C(2)'!E24</f>
        <v>3135000</v>
      </c>
    </row>
    <row r="24" spans="1:7" ht="20.100000000000001" customHeight="1">
      <c r="A24" s="478" t="s">
        <v>206</v>
      </c>
      <c r="B24" s="176"/>
      <c r="C24" s="181" t="s">
        <v>271</v>
      </c>
      <c r="D24" s="176"/>
      <c r="E24" s="176"/>
      <c r="F24" s="180" t="s">
        <v>227</v>
      </c>
      <c r="G24" s="1149">
        <f>+'EXHIBIT C'!F22+'EXHIBIT C(2)'!E25</f>
        <v>91000</v>
      </c>
    </row>
    <row r="25" spans="1:7" ht="20.100000000000001" customHeight="1">
      <c r="A25" s="478" t="s">
        <v>206</v>
      </c>
      <c r="B25" s="176"/>
      <c r="C25" s="181" t="s">
        <v>272</v>
      </c>
      <c r="D25" s="176"/>
      <c r="E25" s="176"/>
      <c r="F25" s="180" t="s">
        <v>228</v>
      </c>
      <c r="G25" s="1149">
        <f>+'EXHIBIT C'!F23+'EXHIBIT C(2)'!E26</f>
        <v>1271000</v>
      </c>
    </row>
    <row r="26" spans="1:7" ht="20.100000000000001" customHeight="1">
      <c r="A26" s="478" t="s">
        <v>206</v>
      </c>
      <c r="B26" s="176"/>
      <c r="C26" s="169" t="s">
        <v>722</v>
      </c>
      <c r="D26" s="176"/>
      <c r="E26" s="176"/>
      <c r="F26" s="179">
        <v>40360</v>
      </c>
      <c r="G26" s="1149">
        <f>+'EXHIBIT C'!F24+'EXHIBIT C(2)'!E27</f>
        <v>4000</v>
      </c>
    </row>
    <row r="27" spans="1:7" ht="20.100000000000001" customHeight="1">
      <c r="A27" s="478" t="s">
        <v>206</v>
      </c>
      <c r="B27" s="176"/>
      <c r="C27" s="169" t="s">
        <v>703</v>
      </c>
      <c r="D27" s="176"/>
      <c r="E27" s="176"/>
      <c r="F27" s="179" t="s">
        <v>704</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12463000</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62386644</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1948890</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0</v>
      </c>
    </row>
    <row r="51" spans="1:7" ht="20.100000000000001" customHeight="1">
      <c r="A51" s="478" t="s">
        <v>712</v>
      </c>
      <c r="B51" s="176"/>
      <c r="C51" s="176"/>
      <c r="D51" s="176"/>
      <c r="E51" s="176"/>
      <c r="F51" s="195">
        <v>40280</v>
      </c>
      <c r="G51" s="1150">
        <v>0</v>
      </c>
    </row>
    <row r="52" spans="1:7" ht="20.100000000000001" customHeight="1">
      <c r="A52" s="478" t="s">
        <v>290</v>
      </c>
      <c r="B52" s="176"/>
      <c r="C52" s="176"/>
      <c r="D52" s="176"/>
      <c r="E52" s="176"/>
      <c r="F52" s="180" t="s">
        <v>291</v>
      </c>
      <c r="G52" s="1150">
        <v>2693020</v>
      </c>
    </row>
    <row r="53" spans="1:7" ht="20.100000000000001" customHeight="1">
      <c r="A53" s="478" t="s">
        <v>292</v>
      </c>
      <c r="B53" s="176"/>
      <c r="C53" s="176"/>
      <c r="D53" s="176"/>
      <c r="E53" s="176"/>
      <c r="F53" s="179">
        <v>40450</v>
      </c>
      <c r="G53" s="1150">
        <v>4619888</v>
      </c>
    </row>
    <row r="54" spans="1:7" ht="20.100000000000001" customHeight="1">
      <c r="A54" s="478" t="s">
        <v>293</v>
      </c>
      <c r="B54" s="176"/>
      <c r="C54" s="176"/>
      <c r="D54" s="176"/>
      <c r="E54" s="176"/>
      <c r="F54" s="180" t="s">
        <v>294</v>
      </c>
      <c r="G54" s="1150">
        <v>49579</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770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2958565</v>
      </c>
    </row>
    <row r="61" spans="1:7" ht="20.100000000000001" customHeight="1">
      <c r="A61" s="478" t="s">
        <v>307</v>
      </c>
      <c r="B61" s="176"/>
      <c r="C61" s="176"/>
      <c r="D61" s="176"/>
      <c r="E61" s="176"/>
      <c r="F61" s="180" t="s">
        <v>308</v>
      </c>
      <c r="G61" s="1150">
        <v>-4418127</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70239229</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2500000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2500000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78745180</v>
      </c>
    </row>
    <row r="78" spans="1:7" ht="20.100000000000001" customHeight="1">
      <c r="A78" s="478" t="s">
        <v>680</v>
      </c>
      <c r="B78" s="176"/>
      <c r="C78" s="176"/>
      <c r="D78" s="176"/>
      <c r="E78" s="176"/>
      <c r="F78" s="179">
        <v>42130</v>
      </c>
      <c r="G78" s="1152">
        <v>1186213</v>
      </c>
    </row>
    <row r="79" spans="1:7" ht="20.100000000000001" customHeight="1">
      <c r="A79" s="480" t="s">
        <v>325</v>
      </c>
      <c r="B79" s="481"/>
      <c r="C79" s="481"/>
      <c r="D79" s="481"/>
      <c r="E79" s="481"/>
      <c r="F79" s="191" t="s">
        <v>326</v>
      </c>
      <c r="G79" s="1150">
        <v>1508154</v>
      </c>
    </row>
    <row r="80" spans="1:7" ht="20.100000000000001" customHeight="1">
      <c r="A80" s="478" t="s">
        <v>327</v>
      </c>
      <c r="B80" s="176"/>
      <c r="C80" s="176"/>
      <c r="D80" s="176"/>
      <c r="E80" s="176"/>
      <c r="F80" s="180" t="s">
        <v>328</v>
      </c>
      <c r="G80" s="1152">
        <v>0</v>
      </c>
    </row>
    <row r="81" spans="1:10" ht="20.100000000000001" customHeight="1">
      <c r="A81" s="478" t="s">
        <v>695</v>
      </c>
      <c r="B81" s="176"/>
      <c r="C81" s="176"/>
      <c r="D81" s="176"/>
      <c r="E81" s="176"/>
      <c r="F81" s="180" t="s">
        <v>329</v>
      </c>
      <c r="G81" s="1152">
        <v>1413000</v>
      </c>
    </row>
    <row r="82" spans="1:10" ht="20.100000000000001" customHeight="1">
      <c r="A82" s="478" t="s">
        <v>330</v>
      </c>
      <c r="B82" s="176"/>
      <c r="C82" s="176"/>
      <c r="D82" s="176"/>
      <c r="E82" s="176"/>
      <c r="F82" s="180" t="s">
        <v>331</v>
      </c>
      <c r="G82" s="1151">
        <f>'CHECK SHEET'!D86</f>
        <v>12203027</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95055574</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714</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715</v>
      </c>
      <c r="B111" s="176"/>
      <c r="C111" s="176"/>
      <c r="D111" s="176"/>
      <c r="E111" s="176"/>
      <c r="F111" s="180" t="s">
        <v>356</v>
      </c>
      <c r="G111" s="432">
        <v>1703196</v>
      </c>
    </row>
    <row r="112" spans="1:7" ht="20.100000000000001" customHeight="1">
      <c r="A112" s="478" t="s">
        <v>357</v>
      </c>
      <c r="B112" s="176"/>
      <c r="C112" s="176"/>
      <c r="D112" s="176"/>
      <c r="E112" s="176"/>
      <c r="F112" s="180" t="s">
        <v>358</v>
      </c>
      <c r="G112" s="432">
        <v>100500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1803696</v>
      </c>
    </row>
    <row r="117" spans="1:7" ht="20.100000000000001" customHeight="1">
      <c r="A117" s="478"/>
      <c r="B117" s="176"/>
      <c r="C117" s="176"/>
      <c r="D117" s="176"/>
      <c r="E117" s="176"/>
      <c r="F117" s="484"/>
      <c r="G117" s="485"/>
    </row>
    <row r="118" spans="1:7" ht="20.100000000000001" customHeight="1">
      <c r="A118" s="707" t="s">
        <v>716</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1507950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17800</v>
      </c>
    </row>
    <row r="127" spans="1:7" ht="20.100000000000001" customHeight="1">
      <c r="A127" s="478" t="s">
        <v>717</v>
      </c>
      <c r="B127" s="176"/>
      <c r="C127" s="176"/>
      <c r="D127" s="176"/>
      <c r="E127" s="176"/>
      <c r="F127" s="180" t="s">
        <v>373</v>
      </c>
      <c r="G127" s="432">
        <v>585502</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2111252</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682</v>
      </c>
      <c r="B134" s="176"/>
      <c r="C134" s="176"/>
      <c r="D134" s="487"/>
      <c r="E134" s="187"/>
      <c r="F134" s="1124">
        <v>49200</v>
      </c>
      <c r="G134" s="432">
        <v>100000</v>
      </c>
    </row>
    <row r="135" spans="1:7" ht="20.100000000000001" customHeight="1">
      <c r="A135" s="478" t="s">
        <v>718</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675</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100000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171809751</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2573536</v>
      </c>
    </row>
    <row r="148" spans="1:7" ht="20.100000000000001" customHeight="1">
      <c r="A148" s="478" t="s">
        <v>389</v>
      </c>
      <c r="F148" s="180" t="s">
        <v>390</v>
      </c>
      <c r="G148" s="434">
        <v>3469671</v>
      </c>
    </row>
    <row r="149" spans="1:7" ht="20.100000000000001" customHeight="1">
      <c r="A149" s="478" t="s">
        <v>391</v>
      </c>
      <c r="F149" s="180" t="s">
        <v>392</v>
      </c>
      <c r="G149" s="434">
        <v>4151256</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27997070</v>
      </c>
    </row>
    <row r="153" spans="1:7" ht="20.100000000000001" customHeight="1">
      <c r="A153" s="478" t="s">
        <v>399</v>
      </c>
      <c r="B153" s="176"/>
      <c r="C153" s="176"/>
      <c r="D153" s="176"/>
      <c r="E153" s="176"/>
      <c r="F153" s="180" t="s">
        <v>400</v>
      </c>
      <c r="G153" s="434">
        <v>5837668</v>
      </c>
    </row>
    <row r="154" spans="1:7" ht="20.100000000000001" customHeight="1">
      <c r="A154" s="478" t="s">
        <v>401</v>
      </c>
      <c r="B154" s="176"/>
      <c r="C154" s="176"/>
      <c r="D154" s="176"/>
      <c r="E154" s="176"/>
      <c r="F154" s="180" t="s">
        <v>402</v>
      </c>
      <c r="G154" s="434">
        <v>41761</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24509881</v>
      </c>
    </row>
    <row r="163" spans="1:7" ht="20.100000000000001" customHeight="1">
      <c r="A163" s="478" t="s">
        <v>418</v>
      </c>
      <c r="B163" s="176"/>
      <c r="C163" s="176"/>
      <c r="D163" s="176"/>
      <c r="E163" s="176"/>
      <c r="F163" s="180" t="s">
        <v>419</v>
      </c>
      <c r="G163" s="434">
        <v>1160933</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11984404</v>
      </c>
    </row>
    <row r="168" spans="1:7" ht="20.100000000000001" customHeight="1">
      <c r="A168" s="478" t="s">
        <v>428</v>
      </c>
      <c r="B168" s="176"/>
      <c r="C168" s="176"/>
      <c r="D168" s="176"/>
      <c r="E168" s="176"/>
      <c r="F168" s="180" t="s">
        <v>429</v>
      </c>
      <c r="G168" s="434">
        <v>285255</v>
      </c>
    </row>
    <row r="169" spans="1:7" ht="20.100000000000001" customHeight="1">
      <c r="A169" s="478" t="s">
        <v>430</v>
      </c>
      <c r="B169" s="176"/>
      <c r="C169" s="176"/>
      <c r="D169" s="176"/>
      <c r="E169" s="176"/>
      <c r="F169" s="180" t="s">
        <v>431</v>
      </c>
      <c r="G169" s="434">
        <v>3044292</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11744213</v>
      </c>
    </row>
    <row r="172" spans="1:7" ht="20.100000000000001" customHeight="1">
      <c r="A172" s="478" t="s">
        <v>436</v>
      </c>
      <c r="B172" s="176"/>
      <c r="C172" s="176"/>
      <c r="D172" s="176"/>
      <c r="E172" s="176"/>
      <c r="F172" s="179">
        <v>56001</v>
      </c>
      <c r="G172" s="434">
        <v>1195268</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53659</v>
      </c>
    </row>
    <row r="177" spans="1:7" ht="20.100000000000001" customHeight="1">
      <c r="A177" s="486" t="s">
        <v>443</v>
      </c>
      <c r="F177" s="195" t="s">
        <v>444</v>
      </c>
      <c r="G177" s="434">
        <v>226063</v>
      </c>
    </row>
    <row r="178" spans="1:7" ht="20.100000000000001" customHeight="1">
      <c r="A178" s="478" t="s">
        <v>445</v>
      </c>
      <c r="B178" s="176"/>
      <c r="C178" s="176"/>
      <c r="D178" s="176"/>
      <c r="E178" s="176"/>
      <c r="F178" s="180" t="s">
        <v>446</v>
      </c>
      <c r="G178" s="434">
        <v>647356</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149589</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6685385</v>
      </c>
    </row>
    <row r="185" spans="1:7" ht="20.100000000000001" customHeight="1">
      <c r="A185" s="478" t="s">
        <v>459</v>
      </c>
      <c r="B185" s="176"/>
      <c r="C185" s="176"/>
      <c r="D185" s="176"/>
      <c r="E185" s="176"/>
      <c r="F185" s="180" t="s">
        <v>460</v>
      </c>
      <c r="G185" s="434">
        <v>11517040</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500000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100000</v>
      </c>
    </row>
    <row r="190" spans="1:7" ht="20.100000000000001" customHeight="1">
      <c r="A190" s="478" t="s">
        <v>468</v>
      </c>
      <c r="B190" s="176"/>
      <c r="C190" s="176"/>
      <c r="D190" s="176"/>
      <c r="E190" s="176"/>
      <c r="F190" s="180" t="s">
        <v>469</v>
      </c>
      <c r="G190" s="434">
        <v>14274415</v>
      </c>
    </row>
    <row r="191" spans="1:7" ht="20.100000000000001" customHeight="1">
      <c r="A191" s="478" t="s">
        <v>719</v>
      </c>
      <c r="B191" s="176"/>
      <c r="C191" s="176"/>
      <c r="D191" s="176"/>
      <c r="E191" s="176"/>
      <c r="F191" s="180" t="s">
        <v>471</v>
      </c>
      <c r="G191" s="434">
        <v>296000</v>
      </c>
    </row>
    <row r="192" spans="1:7" ht="20.100000000000001" customHeight="1">
      <c r="A192" s="478" t="s">
        <v>472</v>
      </c>
      <c r="B192" s="176"/>
      <c r="C192" s="176"/>
      <c r="D192" s="176"/>
      <c r="E192" s="176"/>
      <c r="F192" s="180" t="s">
        <v>473</v>
      </c>
      <c r="G192" s="434">
        <v>-2285000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130159715</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1195795</v>
      </c>
    </row>
    <row r="199" spans="1:7" ht="20.100000000000001" customHeight="1">
      <c r="A199" s="478" t="s">
        <v>478</v>
      </c>
      <c r="B199" s="176"/>
      <c r="C199" s="176"/>
      <c r="D199" s="176"/>
      <c r="E199" s="176"/>
      <c r="F199" s="180" t="s">
        <v>479</v>
      </c>
      <c r="G199" s="434">
        <v>111096</v>
      </c>
    </row>
    <row r="200" spans="1:7" ht="20.100000000000001" customHeight="1">
      <c r="A200" s="478" t="s">
        <v>480</v>
      </c>
      <c r="B200" s="176"/>
      <c r="C200" s="176"/>
      <c r="D200" s="176"/>
      <c r="E200" s="176"/>
      <c r="F200" s="180" t="s">
        <v>481</v>
      </c>
      <c r="G200" s="434">
        <v>355380</v>
      </c>
    </row>
    <row r="201" spans="1:7" ht="20.100000000000001" customHeight="1">
      <c r="A201" s="478" t="s">
        <v>482</v>
      </c>
      <c r="B201" s="176"/>
      <c r="C201" s="176"/>
      <c r="D201" s="176"/>
      <c r="E201" s="176"/>
      <c r="F201" s="180" t="s">
        <v>483</v>
      </c>
      <c r="G201" s="434">
        <v>114491</v>
      </c>
    </row>
    <row r="202" spans="1:7" ht="20.100000000000001" customHeight="1">
      <c r="A202" s="478" t="s">
        <v>484</v>
      </c>
      <c r="B202" s="176"/>
      <c r="C202" s="176"/>
      <c r="D202" s="176"/>
      <c r="E202" s="176"/>
      <c r="F202" s="180" t="s">
        <v>485</v>
      </c>
      <c r="G202" s="434">
        <v>3866037</v>
      </c>
    </row>
    <row r="203" spans="1:7" ht="20.100000000000001" customHeight="1">
      <c r="A203" s="478" t="s">
        <v>720</v>
      </c>
      <c r="B203" s="176"/>
      <c r="C203" s="176"/>
      <c r="D203" s="176"/>
      <c r="E203" s="176"/>
      <c r="F203" s="180" t="s">
        <v>487</v>
      </c>
      <c r="G203" s="434">
        <v>200203</v>
      </c>
    </row>
    <row r="204" spans="1:7" ht="20.100000000000001" customHeight="1">
      <c r="A204" s="478" t="s">
        <v>674</v>
      </c>
      <c r="B204" s="176"/>
      <c r="C204" s="176"/>
      <c r="D204" s="176"/>
      <c r="E204" s="176"/>
      <c r="F204" s="970">
        <v>63100</v>
      </c>
      <c r="G204" s="434">
        <v>1539</v>
      </c>
    </row>
    <row r="205" spans="1:7" ht="20.100000000000001" customHeight="1">
      <c r="A205" s="478" t="s">
        <v>488</v>
      </c>
      <c r="B205" s="176"/>
      <c r="C205" s="176"/>
      <c r="D205" s="176"/>
      <c r="E205" s="176"/>
      <c r="F205" s="180" t="s">
        <v>489</v>
      </c>
      <c r="G205" s="434">
        <v>2800000</v>
      </c>
    </row>
    <row r="206" spans="1:7" ht="20.100000000000001" customHeight="1">
      <c r="A206" s="478" t="s">
        <v>490</v>
      </c>
      <c r="B206" s="176"/>
      <c r="C206" s="176"/>
      <c r="D206" s="176"/>
      <c r="E206" s="176"/>
      <c r="F206" s="180" t="s">
        <v>491</v>
      </c>
      <c r="G206" s="434">
        <v>5580035</v>
      </c>
    </row>
    <row r="207" spans="1:7" ht="20.100000000000001" customHeight="1">
      <c r="A207" s="478" t="s">
        <v>492</v>
      </c>
      <c r="B207" s="176"/>
      <c r="C207" s="176"/>
      <c r="D207" s="176"/>
      <c r="E207" s="176"/>
      <c r="F207" s="180" t="s">
        <v>493</v>
      </c>
      <c r="G207" s="434">
        <v>14871703</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1390258</v>
      </c>
    </row>
    <row r="211" spans="1:9" ht="20.100000000000001" customHeight="1">
      <c r="A211" s="478" t="s">
        <v>499</v>
      </c>
      <c r="B211" s="176"/>
      <c r="C211" s="176"/>
      <c r="D211" s="176"/>
      <c r="E211" s="176"/>
      <c r="F211" s="180" t="s">
        <v>500</v>
      </c>
      <c r="G211" s="434">
        <v>4229326</v>
      </c>
    </row>
    <row r="212" spans="1:9" ht="20.100000000000001" customHeight="1">
      <c r="A212" s="478" t="s">
        <v>501</v>
      </c>
      <c r="F212" s="195" t="s">
        <v>502</v>
      </c>
      <c r="G212" s="434">
        <v>1598707</v>
      </c>
    </row>
    <row r="213" spans="1:9" ht="20.100000000000001" customHeight="1">
      <c r="A213" s="478" t="s">
        <v>503</v>
      </c>
      <c r="B213" s="176"/>
      <c r="C213" s="176"/>
      <c r="D213" s="176"/>
      <c r="E213" s="176"/>
      <c r="F213" s="180" t="s">
        <v>504</v>
      </c>
      <c r="G213" s="434">
        <v>753502</v>
      </c>
    </row>
    <row r="214" spans="1:9" ht="20.100000000000001" customHeight="1">
      <c r="A214" s="478" t="s">
        <v>505</v>
      </c>
      <c r="B214" s="176"/>
      <c r="C214" s="176"/>
      <c r="D214" s="176"/>
      <c r="E214" s="176"/>
      <c r="F214" s="180" t="s">
        <v>506</v>
      </c>
      <c r="G214" s="434">
        <v>1079754</v>
      </c>
    </row>
    <row r="215" spans="1:9" ht="20.100000000000001" customHeight="1">
      <c r="A215" s="478" t="s">
        <v>507</v>
      </c>
      <c r="B215" s="176"/>
      <c r="C215" s="176"/>
      <c r="D215" s="176"/>
      <c r="E215" s="176"/>
      <c r="F215" s="180" t="s">
        <v>508</v>
      </c>
      <c r="G215" s="434">
        <v>364502</v>
      </c>
    </row>
    <row r="216" spans="1:9" ht="20.100000000000001" customHeight="1">
      <c r="A216" s="478" t="s">
        <v>721</v>
      </c>
      <c r="B216" s="176"/>
      <c r="C216" s="176"/>
      <c r="D216" s="176"/>
      <c r="E216" s="176"/>
      <c r="F216" s="193" t="s">
        <v>509</v>
      </c>
      <c r="G216" s="434">
        <v>12300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494000</v>
      </c>
    </row>
    <row r="220" spans="1:9" ht="20.100000000000001" customHeight="1">
      <c r="A220" s="478" t="s">
        <v>516</v>
      </c>
      <c r="B220" s="176"/>
      <c r="C220" s="176"/>
      <c r="D220" s="176"/>
      <c r="E220" s="176"/>
      <c r="F220" s="180" t="s">
        <v>517</v>
      </c>
      <c r="G220" s="434">
        <v>6000</v>
      </c>
    </row>
    <row r="221" spans="1:9" ht="20.100000000000001" customHeight="1">
      <c r="A221" s="478" t="s">
        <v>518</v>
      </c>
      <c r="B221" s="176"/>
      <c r="C221" s="176"/>
      <c r="D221" s="176"/>
      <c r="E221" s="176"/>
      <c r="F221" s="180" t="s">
        <v>519</v>
      </c>
      <c r="G221" s="434">
        <v>0</v>
      </c>
    </row>
    <row r="222" spans="1:9" ht="20.100000000000001" customHeight="1">
      <c r="A222" s="489" t="s">
        <v>683</v>
      </c>
      <c r="B222" s="176"/>
      <c r="C222" s="176"/>
      <c r="D222" s="201"/>
      <c r="E222" s="176"/>
      <c r="F222" s="1056">
        <v>69100</v>
      </c>
      <c r="G222" s="434">
        <v>300000</v>
      </c>
    </row>
    <row r="223" spans="1:9" ht="20.100000000000001" customHeight="1">
      <c r="A223" s="489" t="s">
        <v>684</v>
      </c>
      <c r="B223" s="202"/>
      <c r="C223" s="202"/>
      <c r="D223" s="203"/>
      <c r="E223" s="202"/>
      <c r="F223" s="1055">
        <v>69200</v>
      </c>
      <c r="G223" s="434">
        <v>0</v>
      </c>
    </row>
    <row r="224" spans="1:9" ht="20.100000000000001" customHeight="1">
      <c r="A224" s="478" t="s">
        <v>520</v>
      </c>
      <c r="B224" s="176"/>
      <c r="C224" s="176"/>
      <c r="D224" s="176"/>
      <c r="E224" s="176"/>
      <c r="F224" s="180" t="s">
        <v>521</v>
      </c>
      <c r="G224" s="434">
        <v>130000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370000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39824628</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2500</v>
      </c>
    </row>
    <row r="234" spans="1:7" ht="20.100000000000001" customHeight="1">
      <c r="A234" s="478" t="s">
        <v>531</v>
      </c>
      <c r="B234" s="176"/>
      <c r="C234" s="176"/>
      <c r="D234" s="176"/>
      <c r="E234" s="176"/>
      <c r="F234" s="180" t="s">
        <v>532</v>
      </c>
      <c r="G234" s="434">
        <v>0</v>
      </c>
    </row>
    <row r="235" spans="1:7" ht="20.100000000000001" customHeight="1">
      <c r="A235" s="478" t="s">
        <v>533</v>
      </c>
      <c r="B235" s="176"/>
      <c r="C235" s="176"/>
      <c r="D235" s="176"/>
      <c r="E235" s="176"/>
      <c r="F235" s="1012" t="s">
        <v>534</v>
      </c>
      <c r="G235" s="434">
        <v>0</v>
      </c>
    </row>
    <row r="236" spans="1:7" ht="20.100000000000001" customHeight="1">
      <c r="A236" s="478" t="s">
        <v>709</v>
      </c>
      <c r="B236" s="176"/>
      <c r="C236" s="176"/>
      <c r="D236" s="176"/>
      <c r="E236" s="176"/>
      <c r="F236" s="195">
        <v>73001</v>
      </c>
      <c r="G236" s="434">
        <v>0</v>
      </c>
    </row>
    <row r="237" spans="1:7" ht="20.100000000000001" customHeight="1">
      <c r="A237" s="478" t="s">
        <v>676</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710</v>
      </c>
      <c r="B239" s="176"/>
      <c r="C239" s="176"/>
      <c r="D239" s="176"/>
      <c r="E239" s="176"/>
      <c r="F239" s="195">
        <v>73100</v>
      </c>
      <c r="G239" s="434">
        <v>1822908</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1825408</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171809751</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2500000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10093778</v>
      </c>
    </row>
    <row r="260" spans="1:12" ht="20.100000000000001" customHeight="1">
      <c r="A260" s="478" t="s">
        <v>556</v>
      </c>
      <c r="B260" s="176"/>
      <c r="C260" s="176"/>
      <c r="D260" s="176"/>
      <c r="E260" s="176"/>
      <c r="F260" s="189">
        <v>31100</v>
      </c>
      <c r="G260" s="581">
        <v>36489090</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49082868</v>
      </c>
    </row>
    <row r="263" spans="1:12" ht="20.100000000000001" customHeight="1">
      <c r="A263" s="479"/>
      <c r="B263" s="176"/>
      <c r="C263" s="176"/>
      <c r="D263" s="176"/>
      <c r="E263" s="176"/>
      <c r="F263" s="189"/>
      <c r="G263" s="205"/>
    </row>
    <row r="264" spans="1:12" ht="20.100000000000001" customHeight="1" thickBot="1">
      <c r="A264" s="490" t="s">
        <v>746</v>
      </c>
      <c r="F264" s="195">
        <v>30800</v>
      </c>
      <c r="G264" s="1159">
        <v>-60857514</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-11774646</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3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5:H245 B244:F244 H244"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90" zoomScaleNormal="90" zoomScalePageLayoutView="80" workbookViewId="0"/>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Hillsborough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747</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63011871</v>
      </c>
      <c r="C10" s="436">
        <v>4687241</v>
      </c>
      <c r="D10" s="436">
        <v>0</v>
      </c>
      <c r="E10" s="359">
        <f>SUM(B10:D10)</f>
        <v>67699112</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128738</v>
      </c>
      <c r="C12" s="430">
        <v>9911</v>
      </c>
      <c r="D12" s="430">
        <v>0</v>
      </c>
      <c r="E12" s="360">
        <f>SUM(B12:D12)</f>
        <v>138649</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17124206</v>
      </c>
      <c r="C14" s="438">
        <v>5108330</v>
      </c>
      <c r="D14" s="438">
        <v>781556</v>
      </c>
      <c r="E14" s="360">
        <f t="shared" ref="E14:E20" si="0">SUM(B14:D14)</f>
        <v>23014092</v>
      </c>
      <c r="F14" s="342"/>
    </row>
    <row r="15" spans="1:8" s="11" customFormat="1" ht="20.100000000000001" customHeight="1">
      <c r="A15" s="358" t="s">
        <v>572</v>
      </c>
      <c r="B15" s="437">
        <v>511000</v>
      </c>
      <c r="C15" s="430">
        <v>305660</v>
      </c>
      <c r="D15" s="430">
        <v>0</v>
      </c>
      <c r="E15" s="360">
        <f>SUM(B15:D15)</f>
        <v>816660</v>
      </c>
      <c r="F15" s="342"/>
    </row>
    <row r="16" spans="1:8" s="11" customFormat="1" ht="20.100000000000001" customHeight="1">
      <c r="A16" s="358" t="s">
        <v>573</v>
      </c>
      <c r="B16" s="437">
        <v>19355492</v>
      </c>
      <c r="C16" s="430">
        <v>2645920</v>
      </c>
      <c r="D16" s="430">
        <v>0</v>
      </c>
      <c r="E16" s="360">
        <f t="shared" si="0"/>
        <v>22001412</v>
      </c>
      <c r="F16" s="342"/>
    </row>
    <row r="17" spans="1:6" s="11" customFormat="1" ht="20.100000000000001" customHeight="1">
      <c r="A17" s="358" t="s">
        <v>574</v>
      </c>
      <c r="B17" s="437">
        <v>22178826</v>
      </c>
      <c r="C17" s="430">
        <v>12890245</v>
      </c>
      <c r="D17" s="430">
        <v>939852</v>
      </c>
      <c r="E17" s="360">
        <f t="shared" si="0"/>
        <v>36008923</v>
      </c>
      <c r="F17" s="342"/>
    </row>
    <row r="18" spans="1:6" s="11" customFormat="1" ht="20.100000000000001" customHeight="1">
      <c r="A18" s="358" t="s">
        <v>575</v>
      </c>
      <c r="B18" s="437">
        <v>7534582</v>
      </c>
      <c r="C18" s="430">
        <v>13013321</v>
      </c>
      <c r="D18" s="430">
        <v>104000</v>
      </c>
      <c r="E18" s="360">
        <f t="shared" si="0"/>
        <v>20651903</v>
      </c>
      <c r="F18" s="342"/>
    </row>
    <row r="19" spans="1:6" s="11" customFormat="1" ht="20.100000000000001" customHeight="1">
      <c r="A19" s="358" t="s">
        <v>576</v>
      </c>
      <c r="B19" s="437">
        <v>100000</v>
      </c>
      <c r="C19" s="430">
        <v>494000</v>
      </c>
      <c r="D19" s="430">
        <v>0</v>
      </c>
      <c r="E19" s="360">
        <f t="shared" si="0"/>
        <v>594000</v>
      </c>
      <c r="F19" s="342"/>
    </row>
    <row r="20" spans="1:6" s="11" customFormat="1" ht="20.100000000000001" customHeight="1" thickBot="1">
      <c r="A20" s="358" t="s">
        <v>577</v>
      </c>
      <c r="B20" s="437">
        <v>215000</v>
      </c>
      <c r="C20" s="431">
        <v>670000</v>
      </c>
      <c r="D20" s="431">
        <v>0</v>
      </c>
      <c r="E20" s="360">
        <f t="shared" si="0"/>
        <v>885000</v>
      </c>
      <c r="F20" s="342"/>
    </row>
    <row r="21" spans="1:6" s="11" customFormat="1" ht="24" customHeight="1" thickBot="1">
      <c r="A21" s="283" t="s">
        <v>47</v>
      </c>
      <c r="B21" s="343">
        <f>SUM(B10:B20)</f>
        <v>130159715</v>
      </c>
      <c r="C21" s="346">
        <f>SUM(C10:C20)</f>
        <v>39824628</v>
      </c>
      <c r="D21" s="346">
        <f>SUM(D10:D20)</f>
        <v>1825408</v>
      </c>
      <c r="E21" s="345">
        <f>SUM(E10:E20)</f>
        <v>171809751</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C1" sqref="C1"/>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election activeCell="H1" sqref="H1"/>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Hillsborough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747</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726</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211758</v>
      </c>
      <c r="E15" s="724">
        <v>0</v>
      </c>
      <c r="F15" s="725">
        <f t="shared" si="0"/>
        <v>211758</v>
      </c>
      <c r="I15" s="82"/>
      <c r="J15" s="23"/>
      <c r="K15" s="87"/>
      <c r="L15" s="87"/>
      <c r="M15" s="87"/>
      <c r="N15" s="87"/>
    </row>
    <row r="16" spans="1:224" s="11" customFormat="1" ht="30" customHeight="1">
      <c r="A16" s="721" t="s">
        <v>399</v>
      </c>
      <c r="B16" s="722"/>
      <c r="C16" s="723" t="s">
        <v>400</v>
      </c>
      <c r="D16" s="724">
        <v>40000</v>
      </c>
      <c r="E16" s="724">
        <v>0</v>
      </c>
      <c r="F16" s="725">
        <f t="shared" si="0"/>
        <v>40000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681</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47157</v>
      </c>
      <c r="E26" s="724">
        <v>0</v>
      </c>
      <c r="F26" s="725">
        <f t="shared" si="0"/>
        <v>47157</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22867</v>
      </c>
      <c r="E47" s="724">
        <v>0</v>
      </c>
      <c r="F47" s="725">
        <f t="shared" si="0"/>
        <v>22867</v>
      </c>
    </row>
    <row r="48" spans="1:6" s="11" customFormat="1" ht="30" customHeight="1">
      <c r="A48" s="721" t="s">
        <v>459</v>
      </c>
      <c r="B48" s="722"/>
      <c r="C48" s="723" t="s">
        <v>460</v>
      </c>
      <c r="D48" s="724">
        <v>40623</v>
      </c>
      <c r="E48" s="724">
        <v>0</v>
      </c>
      <c r="F48" s="725">
        <f t="shared" si="0"/>
        <v>40623</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39300</v>
      </c>
      <c r="E53" s="724">
        <v>0</v>
      </c>
      <c r="F53" s="725">
        <f t="shared" si="0"/>
        <v>39300</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401705</v>
      </c>
      <c r="E56" s="258">
        <f>SUM(E10:E55)</f>
        <v>0</v>
      </c>
      <c r="F56" s="258">
        <f t="shared" si="0"/>
        <v>401705</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0</v>
      </c>
      <c r="E63" s="439">
        <v>0</v>
      </c>
      <c r="F63" s="224">
        <f t="shared" si="0"/>
        <v>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0</v>
      </c>
      <c r="E66" s="724">
        <v>0</v>
      </c>
      <c r="F66" s="725">
        <f t="shared" si="0"/>
        <v>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674</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685</v>
      </c>
      <c r="B71" s="722"/>
      <c r="C71" s="731" t="s">
        <v>491</v>
      </c>
      <c r="D71" s="724">
        <v>0</v>
      </c>
      <c r="E71" s="724">
        <v>0</v>
      </c>
      <c r="F71" s="725">
        <f t="shared" si="0"/>
        <v>0</v>
      </c>
    </row>
    <row r="72" spans="1:6" s="11" customFormat="1" ht="30" customHeight="1">
      <c r="A72" s="721" t="s">
        <v>492</v>
      </c>
      <c r="B72" s="722"/>
      <c r="C72" s="731" t="s">
        <v>493</v>
      </c>
      <c r="D72" s="724">
        <v>0</v>
      </c>
      <c r="E72" s="724">
        <v>0</v>
      </c>
      <c r="F72" s="725">
        <f t="shared" si="0"/>
        <v>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10000</v>
      </c>
      <c r="E75" s="724">
        <v>0</v>
      </c>
      <c r="F75" s="725">
        <f t="shared" si="1"/>
        <v>10000</v>
      </c>
    </row>
    <row r="76" spans="1:6" s="11" customFormat="1" ht="30" customHeight="1">
      <c r="A76" s="721" t="s">
        <v>499</v>
      </c>
      <c r="B76" s="722"/>
      <c r="C76" s="731" t="s">
        <v>500</v>
      </c>
      <c r="D76" s="724">
        <v>18295</v>
      </c>
      <c r="E76" s="724">
        <v>0</v>
      </c>
      <c r="F76" s="725">
        <f t="shared" si="1"/>
        <v>18295</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721</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28295</v>
      </c>
      <c r="E92" s="254">
        <f>SUM(E63:E91)</f>
        <v>0</v>
      </c>
      <c r="F92" s="254">
        <f t="shared" si="1"/>
        <v>28295</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709</v>
      </c>
      <c r="B102" s="1058"/>
      <c r="C102" s="1059">
        <v>73001</v>
      </c>
      <c r="D102" s="1083">
        <v>0</v>
      </c>
      <c r="E102" s="1083">
        <v>0</v>
      </c>
      <c r="F102" s="1016">
        <f t="shared" si="1"/>
        <v>0</v>
      </c>
    </row>
    <row r="103" spans="1:6" s="11" customFormat="1" ht="30" customHeight="1">
      <c r="A103" s="1060" t="s">
        <v>676</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710</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430000</v>
      </c>
      <c r="E112" s="254">
        <f>+E56+E92+E110</f>
        <v>0</v>
      </c>
      <c r="F112" s="254">
        <f>SUM(D112:E112)</f>
        <v>430000</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430000</v>
      </c>
      <c r="E117" s="724">
        <v>0</v>
      </c>
      <c r="F117" s="725">
        <f t="shared" ref="F117:F127" si="3">+D117+E117</f>
        <v>430000</v>
      </c>
    </row>
    <row r="118" spans="1:6" s="63" customFormat="1" ht="30" customHeight="1">
      <c r="A118" s="721" t="s">
        <v>598</v>
      </c>
      <c r="B118" s="574"/>
      <c r="C118" s="733"/>
      <c r="D118" s="1039">
        <f>'EXHIBIT C'!F19</f>
        <v>0</v>
      </c>
      <c r="E118" s="724">
        <v>0</v>
      </c>
      <c r="F118" s="725">
        <f t="shared" si="3"/>
        <v>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672</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430000</v>
      </c>
      <c r="E128" s="248">
        <f>SUM(E116:E127)</f>
        <v>0</v>
      </c>
      <c r="F128" s="249">
        <f>SUM(F116:F127)</f>
        <v>430000</v>
      </c>
    </row>
    <row r="129" spans="1:6" ht="14.1" customHeight="1">
      <c r="A129" s="237"/>
      <c r="B129" s="237"/>
      <c r="C129" s="238"/>
      <c r="D129" s="239"/>
      <c r="E129" s="239"/>
      <c r="F129" s="239"/>
    </row>
    <row r="130" spans="1:6" ht="83.25" customHeight="1">
      <c r="A130" s="898" t="s">
        <v>748</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749</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750</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691</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B99F0-3281-401A-A88B-34022978AF39}">
  <ds:schemaRefs>
    <ds:schemaRef ds:uri="http://schemas.microsoft.com/office/infopath/2007/PartnerControls"/>
    <ds:schemaRef ds:uri="http://schemas.microsoft.com/office/2006/metadata/properties"/>
    <ds:schemaRef ds:uri="http://www.w3.org/XML/1998/namespace"/>
    <ds:schemaRef ds:uri="http://purl.org/dc/terms/"/>
    <ds:schemaRef ds:uri="http://schemas.microsoft.com/office/2006/documentManagement/types"/>
    <ds:schemaRef ds:uri="http://schemas.openxmlformats.org/package/2006/metadata/core-properties"/>
    <ds:schemaRef ds:uri="ee822479-6e51-4d14-b6b0-2c589e913e66"/>
    <ds:schemaRef ds:uri="http://purl.org/dc/dcmitype/"/>
    <ds:schemaRef ds:uri="http://purl.org/dc/elements/1.1/"/>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2026-06-12T18:03:21Z</cp:lastPrinted>
  <dcterms:created xsi:type="dcterms:W3CDTF">2005-03-22T15:46:43Z</dcterms:created>
  <dcterms:modified xsi:type="dcterms:W3CDTF">2026-08-04T12:28:54Z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