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FSC @ Jax\"/>
    </mc:Choice>
  </mc:AlternateContent>
  <xr:revisionPtr revIDLastSave="0" documentId="13_ncr:1_{00A78D2A-A3EB-4608-8540-772884AC4045}" xr6:coauthVersionLast="47" xr6:coauthVersionMax="47" xr10:uidLastSave="{00000000-0000-0000-0000-000000000000}"/>
  <workbookProtection workbookAlgorithmName="SHA-512" workbookHashValue="Gs87XaVxsK6RIZoJtm4qFnDlZpM6PNTh6Ava87XT9TZ8BS2eRkK8wpr+mv3kPH/7Ql34dJBBI3Smv5vnBF2L9g==" workbookSaltValue="xqlmXcv72oklhS77azQBLg=="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s="1"/>
  <c r="F10" i="6"/>
  <c r="E44" i="3" s="1"/>
  <c r="E47" i="3"/>
  <c r="C93" i="3" l="1"/>
  <c r="H34" i="6"/>
  <c r="G32" i="7" s="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6" i="3" l="1"/>
  <c r="G46" i="3" s="1"/>
  <c r="F48" i="3"/>
  <c r="G48" i="3" s="1"/>
  <c r="G36" i="7"/>
  <c r="H37" i="6"/>
  <c r="H45" i="6" s="1"/>
  <c r="G38" i="7"/>
  <c r="G43" i="7" s="1"/>
  <c r="H17" i="6"/>
  <c r="H28"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H47" i="6" l="1"/>
  <c r="C34" i="3" s="1"/>
  <c r="C126" i="3"/>
  <c r="F117" i="15"/>
  <c r="F128" i="15" s="1"/>
  <c r="C119" i="3"/>
  <c r="E18" i="4"/>
  <c r="E21" i="4" s="1"/>
  <c r="E23" i="4" s="1"/>
  <c r="E44" i="4" s="1"/>
  <c r="C17" i="3" s="1"/>
  <c r="F84" i="3"/>
  <c r="F88" i="3" s="1"/>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<sst xmlns="http://schemas.openxmlformats.org/spreadsheetml/2006/main" count="1319" uniqueCount="794">
  <si>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</si>
  <si>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</si>
  <si>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</si>
  <si>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</si>
  <si>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</si>
  <si>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</si>
  <si>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</si>
  <si>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</si>
  <si>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</si>
  <si>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</si>
  <si>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</si>
  <si>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</si>
  <si>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</si>
  <si>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</si>
  <si>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</si>
  <si>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</si>
  <si>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</si>
  <si>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</si>
  <si>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</si>
  <si>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</si>
  <si>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</si>
  <si>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</si>
  <si>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</si>
  <si>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</si>
  <si>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</si>
  <si>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</si>
  <si>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</si>
  <si>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</si>
  <si>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</si>
  <si>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</si>
  <si>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</si>
  <si>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</si>
  <si>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</si>
  <si>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</si>
  <si>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</si>
  <si>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</si>
  <si>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</si>
  <si>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</si>
  <si>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</si>
  <si>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</si>
  <si>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</si>
  <si>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</si>
  <si>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</si>
  <si>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</si>
  <si>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</si>
  <si>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</si>
  <si>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</si>
  <si>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</si>
  <si>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</si>
  <si>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</si>
  <si>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</si>
  <si>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</si>
  <si>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</si>
  <si>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</si>
  <si>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</si>
  <si>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</si>
  <si>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</si>
  <si>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</si>
  <si>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</si>
  <si>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</si>
  <si>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</si>
  <si>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</si>
  <si>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</si>
  <si>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</si>
  <si>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</si>
  <si>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</si>
  <si>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</si>
  <si>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</si>
  <si>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</si>
  <si>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</si>
  <si>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</si>
  <si>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</si>
  <si>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</si>
  <si>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</si>
  <si>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</si>
  <si>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</si>
  <si>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</si>
  <si>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</si>
  <si>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</si>
  <si>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</si>
  <si>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</si>
  <si>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</si>
  <si>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</si>
  <si>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</si>
  <si>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</si>
  <si>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</si>
  <si>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</si>
  <si>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</si>
  <si>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</si>
  <si>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</si>
  <si>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</si>
  <si>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</si>
  <si>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</si>
  <si>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</si>
  <si>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</si>
  <si>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</si>
  <si>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</si>
  <si>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</si>
  <si>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</si>
  <si>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</si>
  <si>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</si>
  <si>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</si>
  <si>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</si>
  <si>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</si>
  <si>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</si>
  <si>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</si>
  <si>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</si>
  <si>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</si>
  <si>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</si>
  <si>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</si>
  <si>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</si>
  <si>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</si>
  <si>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</si>
  <si>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</si>
  <si>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</si>
  <si>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</si>
  <si>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</si>
  <si>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</si>
  <si>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</si>
  <si>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</si>
  <si>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</si>
  <si>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</si>
  <si>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</si>
  <si>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</si>
  <si>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</si>
  <si>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</si>
  <si>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</si>
  <si>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</si>
  <si>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</si>
  <si>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</si>
  <si>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</si>
  <si>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</si>
  <si>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</si>
  <si>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</si>
  <si>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</si>
  <si>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</si>
  <si>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</si>
  <si>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</si>
  <si>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</si>
  <si>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</si>
  <si>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</si>
  <si>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</si>
  <si>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</si>
  <si>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</si>
  <si>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</si>
  <si>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</si>
  <si>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</si>
  <si>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</si>
  <si>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</si>
  <si>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</si>
  <si>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</si>
  <si>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</si>
  <si>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</si>
  <si>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</si>
  <si>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</si>
  <si>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</si>
  <si>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</si>
  <si>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</si>
  <si>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</si>
  <si>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</si>
  <si>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</si>
  <si>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</si>
  <si>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</si>
  <si>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</si>
  <si>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</si>
  <si>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</si>
  <si>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</si>
  <si>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</si>
  <si>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</si>
  <si>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</si>
  <si>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</si>
  <si>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</si>
  <si>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</si>
  <si>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</si>
  <si>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</si>
  <si>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</si>
  <si>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</si>
  <si>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</si>
  <si>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</si>
  <si>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</si>
  <si>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</si>
  <si>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</si>
  <si>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</si>
  <si>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</si>
  <si>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</si>
  <si>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</si>
  <si>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</si>
  <si>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</si>
  <si>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</si>
  <si>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</si>
  <si>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</si>
  <si>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</si>
  <si>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</si>
  <si>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</si>
  <si>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</si>
  <si>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</si>
  <si>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</si>
  <si>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</si>
  <si>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</si>
  <si>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</si>
  <si>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</si>
  <si>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</si>
  <si>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</si>
  <si>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</si>
  <si>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</si>
  <si>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</si>
  <si>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</si>
  <si>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</si>
  <si>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</si>
  <si>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</si>
  <si>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</si>
  <si>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</si>
  <si>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</si>
  <si>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</si>
  <si>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</si>
  <si>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</si>
  <si>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</si>
  <si>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</si>
  <si>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</si>
  <si>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</si>
  <si>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</si>
  <si>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</si>
  <si>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</si>
  <si>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</si>
  <si>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</si>
  <si>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</si>
  <si>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</si>
  <si>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</si>
  <si>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</si>
  <si>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</si>
  <si>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</si>
  <si>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</si>
  <si>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</si>
  <si>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</si>
  <si>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</si>
  <si>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</si>
  <si>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</si>
  <si>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</si>
  <si>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</si>
  <si>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</si>
  <si>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</si>
  <si>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</si>
  <si>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</si>
  <si>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</si>
  <si>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</si>
  <si>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</si>
  <si>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</si>
  <si>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</si>
  <si>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</si>
  <si>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</si>
  <si>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</si>
  <si>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</si>
  <si>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</si>
  <si>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</si>
  <si>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</si>
  <si>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</si>
  <si>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</si>
  <si>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</si>
  <si>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</si>
  <si>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</si>
  <si>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</si>
  <si>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</si>
  <si>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</si>
  <si>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</si>
  <si>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</si>
  <si>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</si>
  <si>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</si>
  <si>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</si>
  <si>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</si>
  <si>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</si>
  <si>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</si>
  <si>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</si>
  <si>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</si>
  <si>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</si>
  <si>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</si>
  <si>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</si>
  <si>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</si>
  <si>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</si>
  <si>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</si>
  <si>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</si>
  <si>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</si>
  <si>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</si>
  <si>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</si>
  <si>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</si>
  <si>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</si>
  <si>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</si>
  <si>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</si>
  <si>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</si>
  <si>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</si>
  <si>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</si>
  <si>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</si>
  <si>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</si>
  <si>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</si>
  <si>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</si>
  <si>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</si>
  <si>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</si>
  <si>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</si>
  <si>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</si>
  <si>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</si>
  <si>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</si>
  <si>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</si>
  <si>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</si>
  <si>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</si>
  <si>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</si>
  <si>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</si>
  <si>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</si>
  <si>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</si>
  <si>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</si>
  <si>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</si>
  <si>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</si>
  <si>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</si>
  <si>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</si>
  <si>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</si>
  <si>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</si>
  <si>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</si>
  <si>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</si>
  <si>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</si>
  <si>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</si>
  <si>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</si>
  <si>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</si>
  <si>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</si>
  <si>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</si>
  <si>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</si>
  <si>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</si>
  <si>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</si>
  <si>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</si>
  <si>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</si>
  <si>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</si>
  <si>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</si>
  <si>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</si>
  <si>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</si>
  <si>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</si>
  <si>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</si>
  <si>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</si>
  <si>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</si>
  <si>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</si>
  <si>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</si>
  <si>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</si>
  <si>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</si>
  <si>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</si>
  <si>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</si>
  <si>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</si>
  <si>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</si>
  <si>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</si>
  <si>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</si>
  <si>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</si>
  <si>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</si>
  <si>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</si>
  <si>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</si>
  <si>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</si>
  <si>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</si>
  <si>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</si>
  <si>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</si>
  <si>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</si>
  <si>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</si>
  <si>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</si>
  <si>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</si>
  <si>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</si>
  <si>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</si>
  <si>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</si>
  <si>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</si>
  <si>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</si>
  <si>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</si>
  <si>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</si>
  <si>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</si>
  <si>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</si>
  <si>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</si>
  <si>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</si>
  <si>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</si>
  <si>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</si>
  <si>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</si>
  <si>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</si>
  <si>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</si>
  <si>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</si>
  <si>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</si>
  <si>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</si>
  <si>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</si>
  <si>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</si>
  <si>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</si>
  <si>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</si>
  <si>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</si>
  <si>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</si>
  <si>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</si>
  <si>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</si>
  <si>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</si>
  <si>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</si>
  <si>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</si>
  <si>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</si>
  <si>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</si>
  <si>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</si>
  <si>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</si>
  <si>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</si>
  <si>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</si>
  <si>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</si>
  <si>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</si>
  <si>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</si>
  <si>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</si>
  <si>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</si>
  <si>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</si>
  <si>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</si>
  <si>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</si>
  <si>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</si>
  <si>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</si>
  <si>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</si>
  <si>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</si>
  <si>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</si>
  <si>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</si>
  <si>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</si>
  <si>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</si>
  <si>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</si>
  <si>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</si>
  <si>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</si>
  <si>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</si>
  <si>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</si>
  <si>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</si>
  <si>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</si>
  <si>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</si>
  <si>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</si>
  <si>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</si>
  <si>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</si>
  <si>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</si>
  <si>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</si>
  <si>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</si>
  <si>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</si>
  <si>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</si>
  <si>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</si>
  <si>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</si>
  <si>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</si>
  <si>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</si>
  <si>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</si>
  <si>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</si>
  <si>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</si>
  <si>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</si>
  <si>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</si>
  <si>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</si>
  <si>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</si>
  <si>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</si>
  <si>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</si>
  <si>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</si>
  <si>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</si>
  <si>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</si>
  <si>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</si>
  <si>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</si>
  <si>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</si>
  <si>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</si>
  <si>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</si>
  <si>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</si>
  <si>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</si>
  <si>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</si>
  <si>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</si>
  <si>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</si>
  <si>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</si>
  <si>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</si>
  <si>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</si>
  <si>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</si>
  <si>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</si>
  <si>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</si>
  <si>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</si>
  <si>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</si>
  <si>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</si>
  <si>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</si>
  <si>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</si>
  <si>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</si>
  <si>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</si>
  <si>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</si>
  <si>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</si>
  <si>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</si>
  <si>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</si>
  <si>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</si>
  <si>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</si>
  <si>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</si>
  <si>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</si>
  <si>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</si>
  <si>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</si>
  <si>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</si>
  <si>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</si>
  <si>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</si>
  <si>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</si>
  <si>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</si>
  <si>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</si>
  <si>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</si>
  <si>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</si>
  <si>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</si>
  <si>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</si>
  <si>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</si>
  <si>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</si>
  <si>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</si>
  <si>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</si>
  <si>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</si>
  <si>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</si>
  <si>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</si>
  <si>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</si>
  <si>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</si>
  <si>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</si>
  <si>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</si>
  <si>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</si>
  <si>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</si>
  <si>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</si>
  <si>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</si>
  <si>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</si>
  <si>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</si>
  <si>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</si>
  <si>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</si>
  <si>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</si>
  <si>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</si>
  <si>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</si>
  <si>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</si>
  <si>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</si>
  <si>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</si>
  <si>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</si>
  <si>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</si>
  <si>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</si>
  <si>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</si>
  <si>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</si>
  <si>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</si>
  <si>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</si>
  <si>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</si>
  <si>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</si>
  <si>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</si>
  <si>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</si>
  <si>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</si>
  <si>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</si>
  <si>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</si>
  <si>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</si>
  <si>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</si>
  <si>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</si>
  <si>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</si>
  <si>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</si>
  <si>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</si>
  <si>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</si>
  <si>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</si>
  <si>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</si>
  <si>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</si>
  <si>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</si>
  <si>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</si>
  <si>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</si>
  <si>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</si>
  <si>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</si>
  <si>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</si>
  <si>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</si>
  <si>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</si>
  <si>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</si>
  <si>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</si>
  <si>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</si>
  <si>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</si>
  <si>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</si>
  <si>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</si>
  <si>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</si>
  <si>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</si>
  <si>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</si>
  <si>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</si>
  <si>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</si>
  <si>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</si>
  <si>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</si>
  <si>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</si>
  <si>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</si>
  <si>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</si>
  <si>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</si>
  <si>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</si>
  <si>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</si>
  <si>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</si>
  <si>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</si>
  <si>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</si>
  <si>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</si>
  <si>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</si>
  <si>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</si>
  <si>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</si>
  <si>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</si>
  <si>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</si>
  <si>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</si>
  <si>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</si>
  <si>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</si>
  <si>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</si>
  <si>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</si>
  <si>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</si>
  <si>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</si>
  <si>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</si>
  <si>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</si>
  <si>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</si>
  <si>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</si>
  <si>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</si>
  <si>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</si>
  <si>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</si>
  <si>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</si>
  <si>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</si>
  <si>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</si>
  <si>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</si>
  <si>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</si>
  <si>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</si>
  <si>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</si>
  <si>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</si>
  <si>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</si>
  <si>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</si>
  <si>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</si>
  <si>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</si>
  <si>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</si>
  <si>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</si>
  <si>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</si>
  <si>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</si>
  <si>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</si>
  <si>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</si>
  <si>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</si>
  <si>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</si>
  <si>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</si>
  <si>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</si>
  <si>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</si>
  <si>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</si>
  <si>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</si>
  <si>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</si>
  <si>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</si>
  <si>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</si>
  <si>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</si>
  <si>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</si>
  <si>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</si>
  <si>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</si>
  <si>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</si>
  <si>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</si>
  <si>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</si>
  <si>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</si>
  <si>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</si>
  <si>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</si>
  <si>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</si>
  <si>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</si>
  <si>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</si>
  <si>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</si>
  <si>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</si>
  <si>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</si>
  <si>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</si>
  <si>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</si>
  <si>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</si>
  <si>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</si>
  <si>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</si>
  <si>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</si>
  <si>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</si>
  <si>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</si>
  <si>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</si>
  <si>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</si>
  <si>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</si>
  <si>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</si>
  <si>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</si>
  <si>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</si>
  <si>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</si>
  <si>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</si>
  <si>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</si>
  <si>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</si>
  <si>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</si>
  <si>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</si>
  <si>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</si>
  <si>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</si>
  <si>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</si>
  <si>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</si>
  <si>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</si>
  <si>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</si>
  <si>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</si>
  <si>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</si>
  <si>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</si>
  <si>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</si>
  <si>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</si>
  <si>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</si>
  <si>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</si>
  <si>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</si>
  <si>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</si>
  <si>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</si>
  <si>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</si>
  <si>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</si>
  <si>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</si>
  <si>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</si>
  <si>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</si>
  <si>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</si>
  <si>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</si>
  <si>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</si>
  <si>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</si>
  <si>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</si>
  <si>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</si>
  <si>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</si>
  <si>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</si>
  <si>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</si>
  <si>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</si>
  <si>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</si>
  <si>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</si>
  <si>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</si>
  <si>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</si>
  <si>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</si>
  <si>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</si>
  <si>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</si>
  <si>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</si>
  <si>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</si>
  <si>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</si>
  <si>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</si>
  <si>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</si>
  <si>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</si>
  <si>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</si>
  <si>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</si>
  <si>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</si>
  <si>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</si>
  <si>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</si>
  <si>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</si>
  <si>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</si>
  <si>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</si>
  <si>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</si>
  <si>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</si>
  <si>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</si>
  <si>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</si>
  <si>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</si>
  <si>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</si>
  <si>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</si>
  <si>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</si>
  <si>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</si>
  <si>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</si>
  <si>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</si>
  <si>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</si>
  <si>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</si>
  <si>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</si>
  <si>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</si>
  <si>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</si>
  <si>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</si>
  <si>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</si>
  <si>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</si>
  <si>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</si>
  <si>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</si>
  <si>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</si>
  <si>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</si>
  <si>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</si>
  <si>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</si>
  <si>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</si>
  <si>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</si>
  <si>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</si>
  <si>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</si>
  <si>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</si>
  <si>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</si>
  <si>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</si>
  <si>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</si>
  <si>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</si>
  <si>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</si>
  <si>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</si>
  <si>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</si>
  <si>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</si>
  <si>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</si>
  <si>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</si>
  <si>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</si>
  <si>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</si>
  <si>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</si>
  <si>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</si>
  <si>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</si>
  <si>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</si>
  <si>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</si>
  <si>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</si>
  <si>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</si>
  <si>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</si>
  <si>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</si>
  <si>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</si>
  <si>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</si>
  <si>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</si>
  <si>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</si>
  <si>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</si>
  <si>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</si>
  <si>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</si>
  <si>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</si>
  <si>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</si>
  <si>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</si>
  <si>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</si>
  <si>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</si>
  <si>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</si>
  <si>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</si>
  <si>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</si>
  <si>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</si>
  <si>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</si>
  <si>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</si>
  <si>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</si>
  <si>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</si>
  <si>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</si>
  <si>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</si>
  <si>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</si>
  <si>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</si>
  <si>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</si>
  <si>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</si>
  <si>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</si>
  <si>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</si>
  <si>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</si>
  <si>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</si>
  <si>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</si>
  <si>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</si>
  <si>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</si>
  <si>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</si>
  <si>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</si>
  <si>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</si>
  <si>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</si>
  <si>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</si>
  <si>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</si>
  <si>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</si>
  <si>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</si>
  <si>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</si>
  <si>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 xml:space="preserve">Based on FSCJ's projected FTE for 2025-26 plus 3%, we are projecting for all tuition programs to total 522,148 converted to 30 CRHR. Compared to the Division calculation of 471,365 as 3.01%.   AP Lower, PSV, CC, and DE all exceed the estimate above for Division. </t>
  </si>
  <si>
    <t xml:space="preserve">FSCJ's 2025-26 current enrollment shows out-of-state tuition students in AP Lower, PSV, and CC exceeding 15% of in-state tuition students. FSCJ's 2026-27 estimated student credit hours is only 2.72% of FSCJ's estimated in-state student credit hours. This is below Division's estimate of 3.3 % of estimated in-state estimated FTE.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</si>
</sst>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26</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0.10927237156098077</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49380</v>
      </c>
      <c r="E44" s="108">
        <f>+'EXHIBIT C'!F10</f>
        <v>50859</v>
      </c>
      <c r="F44" s="109">
        <f t="shared" ref="F44:F50" si="0">IF(D44=0,"0",(E44/D44-1))</f>
        <v>2.9951397326853035E-2</v>
      </c>
      <c r="G44" s="110" t="str">
        <f t="shared" ref="G44:G50" si="1">IF(OR(F44&gt;3%, F44&lt;-3%),"YES","NO")</f>
        <v>NO</v>
      </c>
      <c r="H44" s="82"/>
    </row>
    <row r="45" spans="1:8" ht="20.100000000000001" customHeight="1">
      <c r="C45" s="111" t="s">
        <v>123</v>
      </c>
      <c r="D45" s="620">
        <f>VLOOKUP($D$7,VLOOKUP!$A$116:$S$144,5)*30+D60</f>
        <v>250539.08039977081</v>
      </c>
      <c r="E45" s="112">
        <f>+'EXHIBIT C'!F11</f>
        <v>258057.4</v>
      </c>
      <c r="F45" s="621">
        <f t="shared" si="0"/>
        <v>3.0008570272680224E-2</v>
      </c>
      <c r="G45" s="622" t="str">
        <f t="shared" si="1"/>
        <v>YES</v>
      </c>
      <c r="H45" s="82"/>
    </row>
    <row r="46" spans="1:8" ht="20.100000000000001" customHeight="1">
      <c r="C46" s="623" t="s">
        <v>124</v>
      </c>
      <c r="D46" s="624">
        <f>VLOOKUP($D$7,VLOOKUP!$A$116:$S$144,8)*30</f>
        <v>108260.71595126277</v>
      </c>
      <c r="E46" s="625">
        <f>+'EXHIBIT C'!F12</f>
        <v>111509.8</v>
      </c>
      <c r="F46" s="621">
        <f t="shared" si="0"/>
        <v>3.0011662311562048E-2</v>
      </c>
      <c r="G46" s="622" t="str">
        <f t="shared" si="1"/>
        <v>YES</v>
      </c>
      <c r="H46" s="82"/>
    </row>
    <row r="47" spans="1:8" ht="20.100000000000001" customHeight="1">
      <c r="C47" s="623" t="s">
        <v>74</v>
      </c>
      <c r="D47" s="624">
        <f>VLOOKUP($D$7,VLOOKUP!$A$116:$S$144,17)*30</f>
        <v>25462.564787183917</v>
      </c>
      <c r="E47" s="625">
        <f>+'EXHIBIT C'!F13</f>
        <v>26227</v>
      </c>
      <c r="F47" s="621">
        <f t="shared" si="0"/>
        <v>3.0021925096911151E-2</v>
      </c>
      <c r="G47" s="622" t="str">
        <f t="shared" si="1"/>
        <v>YES</v>
      </c>
      <c r="H47" s="82"/>
    </row>
    <row r="48" spans="1:8" ht="20.100000000000001" customHeight="1">
      <c r="C48" s="623" t="s">
        <v>125</v>
      </c>
      <c r="D48" s="624">
        <f>VLOOKUP($D$7,VLOOKUP!$A$116:$S$144,11)*30</f>
        <v>23983.366935483871</v>
      </c>
      <c r="E48" s="625">
        <f>+'EXHIBIT C'!F14</f>
        <v>24704</v>
      </c>
      <c r="F48" s="621">
        <f t="shared" si="0"/>
        <v>3.0047201731710826E-2</v>
      </c>
      <c r="G48" s="622" t="str">
        <f t="shared" si="1"/>
        <v>YES</v>
      </c>
      <c r="H48" s="82"/>
    </row>
    <row r="49" spans="3:8" ht="20.100000000000001" customHeight="1" thickBot="1">
      <c r="C49" s="626" t="s">
        <v>126</v>
      </c>
      <c r="D49" s="627">
        <f>VLOOKUP($D$7,VLOOKUP!$A$116:$S$144,14)*30</f>
        <v>-29.651162790697676</v>
      </c>
      <c r="E49" s="628">
        <f>+'EXHIBIT C'!F15</f>
        <v>8</v>
      </c>
      <c r="F49" s="629">
        <f t="shared" si="0"/>
        <v>-1.2698039215686274</v>
      </c>
      <c r="G49" s="630" t="str">
        <f t="shared" si="1"/>
        <v>YES</v>
      </c>
      <c r="H49" s="82"/>
    </row>
    <row r="50" spans="3:8" ht="20.100000000000001" customHeight="1" thickBot="1">
      <c r="C50" s="113" t="s">
        <v>47</v>
      </c>
      <c r="D50" s="114">
        <f>SUM(D44:D49)</f>
        <v>457596.07691091066</v>
      </c>
      <c r="E50" s="115">
        <f>+'EXHIBIT C'!F17</f>
        <v>471365.2</v>
      </c>
      <c r="F50" s="116">
        <f t="shared" si="0"/>
        <v>3.0090124858675349E-2</v>
      </c>
      <c r="G50" s="117" t="str">
        <f t="shared" si="1"/>
        <v>YES</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t="s">
        <v>792</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914.1</v>
      </c>
      <c r="F59" s="632" t="str">
        <f t="shared" ref="F59:F65" si="2">IF(D59=0,"0",(E59/D59-1))</f>
        <v>0</v>
      </c>
      <c r="G59" s="633" t="str">
        <f>IF(OR(F59&gt;5%, F59&lt;-5%),"YES","NO")</f>
        <v>NO</v>
      </c>
    </row>
    <row r="60" spans="3:8" ht="20.100000000000001" customHeight="1">
      <c r="C60" s="111" t="s">
        <v>123</v>
      </c>
      <c r="D60" s="631">
        <f>VLOOKUP($D$7,VLOOKUP!$A$116:$S$144,6)*30</f>
        <v>8490.7153860844101</v>
      </c>
      <c r="E60" s="125">
        <f>+'EXHIBIT C'!D20</f>
        <v>8915.4</v>
      </c>
      <c r="F60" s="632">
        <f t="shared" si="2"/>
        <v>5.0017530279205191E-2</v>
      </c>
      <c r="G60" s="633" t="str">
        <f t="shared" ref="G60:G65" si="3">IF(OR(F60&gt;5%, F60&lt;-5%),"YES","NO")</f>
        <v>YES</v>
      </c>
      <c r="H60" s="82"/>
    </row>
    <row r="61" spans="3:8" ht="20.100000000000001" customHeight="1">
      <c r="C61" s="623" t="s">
        <v>124</v>
      </c>
      <c r="D61" s="634">
        <f>VLOOKUP($D$7,VLOOKUP!$A$116:$S$144,9)*30</f>
        <v>2381.6910243357743</v>
      </c>
      <c r="E61" s="635">
        <f>+'EXHIBIT C'!D21</f>
        <v>2500.8000000000002</v>
      </c>
      <c r="F61" s="632">
        <f t="shared" si="2"/>
        <v>5.0010255086485822E-2</v>
      </c>
      <c r="G61" s="633" t="str">
        <f t="shared" si="3"/>
        <v>YES</v>
      </c>
      <c r="H61" s="82"/>
    </row>
    <row r="62" spans="3:8" ht="20.100000000000001" customHeight="1">
      <c r="C62" s="623" t="s">
        <v>74</v>
      </c>
      <c r="D62" s="634">
        <f>VLOOKUP($D$7,VLOOKUP!$A$116:$S$144,18)*30</f>
        <v>1229.2272655881889</v>
      </c>
      <c r="E62" s="635">
        <f>+'EXHIBIT C'!D22</f>
        <v>1290.7</v>
      </c>
      <c r="F62" s="632">
        <f t="shared" si="2"/>
        <v>5.0009250634703628E-2</v>
      </c>
      <c r="G62" s="633" t="str">
        <f t="shared" si="3"/>
        <v>YES</v>
      </c>
      <c r="H62" s="82"/>
    </row>
    <row r="63" spans="3:8" ht="20.100000000000001" customHeight="1">
      <c r="C63" s="623" t="s">
        <v>125</v>
      </c>
      <c r="D63" s="634">
        <f>VLOOKUP($D$7,VLOOKUP!$A$116:$S$144,12)*30</f>
        <v>1516.633064516129</v>
      </c>
      <c r="E63" s="635">
        <f>+'EXHIBIT C'!D23</f>
        <v>1592.4</v>
      </c>
      <c r="F63" s="632">
        <f t="shared" si="2"/>
        <v>4.9957328015952207E-2</v>
      </c>
      <c r="G63" s="633" t="str">
        <f t="shared" si="3"/>
        <v>NO</v>
      </c>
      <c r="H63" s="82"/>
    </row>
    <row r="64" spans="3:8" ht="20.100000000000001" customHeight="1" thickBot="1">
      <c r="C64" s="626" t="s">
        <v>126</v>
      </c>
      <c r="D64" s="636">
        <f>VLOOKUP($D$7,VLOOKUP!$A$116:$S$144,15)*30</f>
        <v>29.651162790697676</v>
      </c>
      <c r="E64" s="637">
        <f>+'EXHIBIT C'!D24</f>
        <v>31.1</v>
      </c>
      <c r="F64" s="638">
        <f t="shared" si="2"/>
        <v>4.8862745098039229E-2</v>
      </c>
      <c r="G64" s="639" t="str">
        <f t="shared" si="3"/>
        <v>NO</v>
      </c>
      <c r="H64" s="82"/>
    </row>
    <row r="65" spans="1:8" ht="20.100000000000001" customHeight="1" thickBot="1">
      <c r="C65" s="113" t="s">
        <v>47</v>
      </c>
      <c r="D65" s="126">
        <f>SUM(D59:D64)</f>
        <v>13647.9179033152</v>
      </c>
      <c r="E65" s="127">
        <f>SUM(E59:E64)</f>
        <v>15244.5</v>
      </c>
      <c r="F65" s="128">
        <f t="shared" si="2"/>
        <v>0.11698356540501886</v>
      </c>
      <c r="G65" s="129" t="str">
        <f t="shared" si="3"/>
        <v>YES</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t="s">
        <v>793</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76188848</v>
      </c>
      <c r="E84" s="1086">
        <f>+'EXHIBIT D'!G77</f>
        <v>76188848</v>
      </c>
      <c r="F84" s="1086">
        <f>D84-E84</f>
        <v>0</v>
      </c>
      <c r="G84" s="82"/>
      <c r="H84" s="82"/>
    </row>
    <row r="85" spans="1:8" ht="20.100000000000001" customHeight="1">
      <c r="A85" s="92"/>
      <c r="B85" s="92"/>
      <c r="C85" s="642" t="s">
        <v>147</v>
      </c>
      <c r="D85" s="641">
        <f>VLOOKUP($D$7,VLOOKUP!$A$157:$B$185,2)</f>
        <v>1028072</v>
      </c>
      <c r="E85" s="1086">
        <f>'EXHIBIT D'!G79</f>
        <v>1028072</v>
      </c>
      <c r="F85" s="1086">
        <f>D85-E85</f>
        <v>0</v>
      </c>
      <c r="G85" s="82"/>
      <c r="H85" s="82"/>
    </row>
    <row r="86" spans="1:8" ht="20.100000000000001" customHeight="1">
      <c r="A86" s="92"/>
      <c r="B86" s="92"/>
      <c r="C86" s="642" t="s">
        <v>148</v>
      </c>
      <c r="D86" s="641">
        <f>VLOOKUP($D$7,VLOOKUP!$A$7:$E$35,3)</f>
        <v>16150515</v>
      </c>
      <c r="E86" s="1086">
        <f>'EXHIBIT D'!G82</f>
        <v>16150515</v>
      </c>
      <c r="F86" s="1086">
        <f>D86-E86</f>
        <v>0</v>
      </c>
      <c r="G86" s="82"/>
      <c r="H86" s="82"/>
    </row>
    <row r="87" spans="1:8" ht="20.100000000000001" customHeight="1" thickBot="1">
      <c r="A87" s="91"/>
      <c r="B87" s="91"/>
      <c r="C87" s="137" t="s">
        <v>680</v>
      </c>
      <c r="D87" s="641">
        <f>VLOOKUP($D$7,VLOOKUP!$A$192:$B$220,2)</f>
        <v>2212839</v>
      </c>
      <c r="E87" s="1087">
        <f>'EXHIBIT D'!G78</f>
        <v>2212839</v>
      </c>
      <c r="F87" s="1086">
        <f>D87-E87</f>
        <v>0</v>
      </c>
      <c r="G87" s="82"/>
      <c r="H87" s="82"/>
    </row>
    <row r="88" spans="1:8" ht="20.100000000000001" customHeight="1" thickBot="1">
      <c r="A88" s="91"/>
      <c r="B88" s="91"/>
      <c r="C88" s="138" t="s">
        <v>149</v>
      </c>
      <c r="D88" s="139">
        <f>SUM(D84:D87)</f>
        <v>95580274</v>
      </c>
      <c r="E88" s="139">
        <f>SUM(E84:E87)</f>
        <v>95580274</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19514613</v>
      </c>
      <c r="D101" s="786" t="s">
        <v>728</v>
      </c>
      <c r="E101" s="786"/>
      <c r="F101" s="786"/>
      <c r="G101" s="82"/>
      <c r="H101" s="82"/>
    </row>
    <row r="102" spans="1:8" ht="20.100000000000001" customHeight="1">
      <c r="A102" s="89"/>
      <c r="B102" s="89"/>
      <c r="C102" s="644">
        <f>'EXHIBIT D'!G266-'EXHIBIT D'!G252-'EXHIBIT D'!G264</f>
        <v>19514613</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0</v>
      </c>
      <c r="D108" s="11" t="s">
        <v>730</v>
      </c>
    </row>
    <row r="109" spans="1:8" ht="26.25" customHeight="1">
      <c r="A109" s="145"/>
      <c r="B109" s="145"/>
      <c r="C109" s="646">
        <f>'EXHIBIT A'!E36</f>
        <v>0</v>
      </c>
      <c r="D109" s="11" t="s">
        <v>731</v>
      </c>
    </row>
    <row r="110" spans="1:8" ht="26.1" customHeight="1">
      <c r="A110" s="145"/>
      <c r="B110" s="145"/>
      <c r="C110" s="647">
        <f>C108-C109</f>
        <v>0</v>
      </c>
      <c r="D110" s="83" t="s">
        <v>157</v>
      </c>
      <c r="E110" s="83"/>
      <c r="F110" s="83"/>
      <c r="G110" s="83"/>
    </row>
    <row r="111" spans="1:8" ht="20.100000000000001" customHeight="1">
      <c r="A111" s="145"/>
      <c r="B111" s="145"/>
      <c r="C111" s="148"/>
    </row>
    <row r="112" spans="1:8" ht="26.1" customHeight="1">
      <c r="A112" s="145"/>
      <c r="B112" s="145"/>
      <c r="C112" s="645">
        <f>'EXHIBIT D'!G186</f>
        <v>0</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91.790007668259307</v>
      </c>
      <c r="D119" s="11" t="s">
        <v>78</v>
      </c>
    </row>
    <row r="120" spans="1:8" ht="20.100000000000001" customHeight="1">
      <c r="C120" s="151"/>
    </row>
    <row r="121" spans="1:8" ht="20.100000000000001" customHeight="1">
      <c r="C121" s="152">
        <f>IF('EXHIBIT G'!D118=0,"No Credit Hours or Not Applicable",('EXHIBIT G'!D118/'EXHIBIT C'!D19))</f>
        <v>239.3195492834482</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Florida State College at Jacksonville</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19514613</v>
      </c>
    </row>
    <row r="14" spans="2:7" ht="25.35" customHeight="1">
      <c r="B14" s="11" t="s">
        <v>171</v>
      </c>
      <c r="D14" s="22"/>
      <c r="E14" s="1157">
        <v>0</v>
      </c>
    </row>
    <row r="15" spans="2:7" ht="25.35" customHeight="1">
      <c r="B15" s="22"/>
      <c r="D15" s="22"/>
      <c r="E15" s="156"/>
    </row>
    <row r="16" spans="2:7" ht="25.35" customHeight="1">
      <c r="B16" s="11" t="s">
        <v>736</v>
      </c>
      <c r="C16" s="22"/>
      <c r="D16" s="22"/>
      <c r="E16" s="555">
        <f>+E14+E13</f>
        <v>19514613</v>
      </c>
    </row>
    <row r="17" spans="2:7" ht="25.35" customHeight="1">
      <c r="B17" s="22"/>
      <c r="C17" s="22"/>
      <c r="D17" s="22"/>
      <c r="E17" s="157"/>
    </row>
    <row r="18" spans="2:7" ht="25.35" customHeight="1">
      <c r="B18" s="11" t="s">
        <v>172</v>
      </c>
      <c r="C18" s="22"/>
      <c r="D18" s="22"/>
      <c r="E18" s="167">
        <f>+'EXHIBIT D'!G143-SUM(+'EXHIBIT D'!G133+'EXHIBIT D'!G134)</f>
        <v>158912277</v>
      </c>
      <c r="G18" s="132"/>
    </row>
    <row r="19" spans="2:7" ht="25.35" customHeight="1">
      <c r="B19" s="11" t="s">
        <v>173</v>
      </c>
      <c r="D19" s="22"/>
      <c r="E19" s="555">
        <f>+'EXHIBIT D'!G133+'EXHIBIT D'!G134</f>
        <v>160000</v>
      </c>
    </row>
    <row r="20" spans="2:7" ht="25.35" customHeight="1">
      <c r="B20" s="22"/>
      <c r="D20" s="22"/>
      <c r="E20" s="162"/>
    </row>
    <row r="21" spans="2:7" ht="25.35" customHeight="1">
      <c r="B21" s="11" t="s">
        <v>174</v>
      </c>
      <c r="C21" s="22"/>
      <c r="D21" s="22"/>
      <c r="E21" s="556">
        <f>+E19+E18</f>
        <v>159072277</v>
      </c>
    </row>
    <row r="22" spans="2:7" ht="25.35" customHeight="1">
      <c r="B22" s="22"/>
      <c r="C22" s="22"/>
      <c r="D22" s="22"/>
      <c r="E22" s="162"/>
    </row>
    <row r="23" spans="2:7" ht="25.35" customHeight="1">
      <c r="B23" s="22" t="s">
        <v>175</v>
      </c>
      <c r="C23" s="22"/>
      <c r="D23" s="22"/>
      <c r="E23" s="556">
        <f>+E21+E16</f>
        <v>178586890</v>
      </c>
    </row>
    <row r="24" spans="2:7" ht="25.35" customHeight="1">
      <c r="B24" s="22"/>
      <c r="C24" s="22"/>
      <c r="D24" s="22"/>
      <c r="E24" s="162"/>
    </row>
    <row r="25" spans="2:7" ht="25.35" customHeight="1">
      <c r="B25" s="11" t="s">
        <v>176</v>
      </c>
      <c r="C25" s="22"/>
      <c r="D25" s="22"/>
      <c r="E25" s="168">
        <f>'EXHIBIT D'!G248-SUM(+'EXHIBIT D'!G222+'EXHIBIT D'!G223)</f>
        <v>157072277</v>
      </c>
    </row>
    <row r="26" spans="2:7" ht="25.35" customHeight="1">
      <c r="B26" s="11" t="s">
        <v>177</v>
      </c>
      <c r="D26" s="22"/>
      <c r="E26" s="555">
        <f>'EXHIBIT D'!G222+'EXHIBIT D'!G223</f>
        <v>2000000</v>
      </c>
    </row>
    <row r="27" spans="2:7" ht="25.35" customHeight="1">
      <c r="B27" s="22"/>
      <c r="D27" s="22"/>
      <c r="E27" s="162"/>
    </row>
    <row r="28" spans="2:7" ht="25.35" customHeight="1">
      <c r="B28" s="22" t="s">
        <v>178</v>
      </c>
      <c r="C28" s="22"/>
      <c r="D28" s="22"/>
      <c r="E28" s="557">
        <f>+E26+E25</f>
        <v>159072277</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19514613</v>
      </c>
      <c r="E32" s="158"/>
    </row>
    <row r="33" spans="2:10" ht="25.35" customHeight="1">
      <c r="B33" s="11" t="s">
        <v>180</v>
      </c>
      <c r="C33" s="22"/>
      <c r="D33" s="558">
        <f>+'EXHIBIT D'!G186</f>
        <v>0</v>
      </c>
      <c r="E33" s="158"/>
    </row>
    <row r="34" spans="2:10" ht="25.35" customHeight="1">
      <c r="B34" s="22"/>
      <c r="D34" s="22"/>
      <c r="E34" s="158"/>
      <c r="J34" s="160"/>
    </row>
    <row r="35" spans="2:10" ht="25.35" customHeight="1">
      <c r="B35" s="11" t="s">
        <v>738</v>
      </c>
      <c r="C35" s="22"/>
      <c r="D35" s="22"/>
      <c r="E35" s="161">
        <f>+D32+D33</f>
        <v>19514613</v>
      </c>
    </row>
    <row r="36" spans="2:10" ht="25.35" customHeight="1">
      <c r="B36" s="11" t="s">
        <v>739</v>
      </c>
      <c r="C36" s="22"/>
      <c r="D36" s="22"/>
      <c r="E36" s="556">
        <f>-'EXHIBIT D'!G264</f>
        <v>0</v>
      </c>
      <c r="J36" s="42"/>
    </row>
    <row r="37" spans="2:10" ht="25.35" customHeight="1">
      <c r="D37" s="22"/>
      <c r="E37" s="161"/>
    </row>
    <row r="38" spans="2:10" ht="25.35" customHeight="1">
      <c r="B38" s="22" t="s">
        <v>740</v>
      </c>
      <c r="D38" s="22"/>
      <c r="E38" s="555">
        <f>+E35-E36</f>
        <v>19514613</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19514613</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0.10927237156098077</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JESkdNrPDx7Tb4J4W+3hdySNDcF5n94YU03CkuITeywaa+iJc9OUOdFa1SUEIv+TyR7C+poSseVJhdQy5W8rtw==" saltValue="3H9V4bbFZOH8RnPhuaTKfg=="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13" zoomScale="50" zoomScaleNormal="50" zoomScalePageLayoutView="50" workbookViewId="0">
      <selection activeCell="O34" sqref="O34"/>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Florida State College at Jacksonville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4.1500000000000004</v>
      </c>
      <c r="E14" s="928">
        <v>11.4</v>
      </c>
      <c r="F14" s="928">
        <v>4.59</v>
      </c>
      <c r="G14" s="649">
        <f>SUM(B14:F14)</f>
        <v>116.52000000000002</v>
      </c>
      <c r="H14" s="355">
        <f>G14*30</f>
        <v>3495.6000000000008</v>
      </c>
    </row>
    <row r="15" spans="1:18" s="11" customFormat="1" ht="20.100000000000001" customHeight="1">
      <c r="A15" s="22" t="s">
        <v>198</v>
      </c>
      <c r="B15" s="929">
        <v>82.78</v>
      </c>
      <c r="C15" s="929">
        <v>4.1399999999999997</v>
      </c>
      <c r="D15" s="929">
        <v>4.1500000000000004</v>
      </c>
      <c r="E15" s="929">
        <v>9.67</v>
      </c>
      <c r="F15" s="929">
        <v>4.1399999999999997</v>
      </c>
      <c r="G15" s="649">
        <f>SUM(B15:F15)</f>
        <v>104.88000000000001</v>
      </c>
      <c r="H15" s="328">
        <f>G15*30</f>
        <v>3146.4</v>
      </c>
    </row>
    <row r="16" spans="1:18" s="11" customFormat="1" ht="20.100000000000001" customHeight="1" thickBot="1">
      <c r="A16" s="22" t="s">
        <v>74</v>
      </c>
      <c r="B16" s="930">
        <v>73.2</v>
      </c>
      <c r="C16" s="930">
        <v>7.2</v>
      </c>
      <c r="D16" s="931"/>
      <c r="E16" s="930">
        <v>3.6</v>
      </c>
      <c r="F16" s="930">
        <v>3.6</v>
      </c>
      <c r="G16" s="329">
        <f>SUM(B16:F16)</f>
        <v>87.6</v>
      </c>
      <c r="H16" s="650">
        <f>G16*30</f>
        <v>2628</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30</v>
      </c>
      <c r="C19" s="356"/>
      <c r="D19" s="356"/>
      <c r="E19" s="356"/>
      <c r="F19" s="356"/>
      <c r="G19" s="649">
        <f>B19</f>
        <v>30</v>
      </c>
      <c r="H19" s="577">
        <f>G19*3</f>
        <v>90</v>
      </c>
    </row>
    <row r="20" spans="1:11" s="11" customFormat="1" ht="20.100000000000001" customHeight="1" thickBot="1">
      <c r="A20" s="22" t="s">
        <v>202</v>
      </c>
      <c r="B20" s="568">
        <v>30</v>
      </c>
      <c r="C20" s="310"/>
      <c r="D20" s="310"/>
      <c r="E20" s="310"/>
      <c r="F20" s="310"/>
      <c r="G20" s="331">
        <f>B20</f>
        <v>30</v>
      </c>
      <c r="H20" s="543">
        <f>G20*3</f>
        <v>90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239.32</v>
      </c>
      <c r="D29" s="928">
        <v>16.559999999999999</v>
      </c>
      <c r="E29" s="515">
        <f>D14</f>
        <v>4.1500000000000004</v>
      </c>
      <c r="F29" s="928">
        <v>32.89</v>
      </c>
      <c r="G29" s="928">
        <v>16.559999999999999</v>
      </c>
      <c r="H29" s="336">
        <f>SUM(B29:G29)</f>
        <v>401.27</v>
      </c>
      <c r="I29" s="349">
        <f>H29*30</f>
        <v>12038.099999999999</v>
      </c>
    </row>
    <row r="30" spans="1:11" s="11" customFormat="1" ht="20.100000000000001" customHeight="1">
      <c r="A30" s="22" t="str">
        <f t="shared" si="0"/>
        <v>LOWER LEVEL - CREDIT (A &amp; P, PSV, DEVELOPMENTAL EDUCATION AND EPI)</v>
      </c>
      <c r="B30" s="653">
        <f t="shared" si="0"/>
        <v>82.78</v>
      </c>
      <c r="C30" s="932">
        <v>248.33</v>
      </c>
      <c r="D30" s="932">
        <v>16.559999999999999</v>
      </c>
      <c r="E30" s="654">
        <f>D15</f>
        <v>4.1500000000000004</v>
      </c>
      <c r="F30" s="932">
        <v>32.89</v>
      </c>
      <c r="G30" s="932">
        <v>16.559999999999999</v>
      </c>
      <c r="H30" s="649">
        <f>SUM(B30:G30)</f>
        <v>401.27</v>
      </c>
      <c r="I30" s="328">
        <f>H30*30</f>
        <v>12038.099999999999</v>
      </c>
    </row>
    <row r="31" spans="1:11" s="11" customFormat="1" ht="20.100000000000001" customHeight="1">
      <c r="A31" s="22" t="str">
        <f t="shared" si="0"/>
        <v>CAREER CERTIFICATE AND APPLIED TECHNOLOGY DIPLOMA</v>
      </c>
      <c r="B31" s="1106">
        <f t="shared" si="0"/>
        <v>73.2</v>
      </c>
      <c r="C31" s="929">
        <v>219.6</v>
      </c>
      <c r="D31" s="929">
        <v>28.8</v>
      </c>
      <c r="E31" s="1107"/>
      <c r="F31" s="929">
        <v>14.64</v>
      </c>
      <c r="G31" s="929">
        <v>14.4</v>
      </c>
      <c r="H31" s="1108">
        <f>SUM(B31:G31)</f>
        <v>350.64</v>
      </c>
      <c r="I31" s="1108">
        <f>H31*30</f>
        <v>10519.199999999999</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30</v>
      </c>
      <c r="C35" s="356"/>
      <c r="D35" s="356"/>
      <c r="E35" s="356"/>
      <c r="F35" s="356"/>
      <c r="G35" s="356"/>
      <c r="H35" s="655">
        <f>B35</f>
        <v>30</v>
      </c>
      <c r="I35" s="350">
        <f>H35*3</f>
        <v>90</v>
      </c>
      <c r="J35" s="334"/>
      <c r="K35" s="334"/>
    </row>
    <row r="36" spans="1:11" s="11" customFormat="1" ht="20.100000000000001" customHeight="1" thickBot="1">
      <c r="A36" s="22" t="str">
        <f>A20</f>
        <v>ADULT GENERAL EDUCATION AND SECONDARY (PER TERM)</v>
      </c>
      <c r="B36" s="656">
        <f>B20</f>
        <v>30</v>
      </c>
      <c r="C36" s="310"/>
      <c r="D36" s="310"/>
      <c r="E36" s="310"/>
      <c r="F36" s="310"/>
      <c r="G36" s="310"/>
      <c r="H36" s="340">
        <f>B36</f>
        <v>30</v>
      </c>
      <c r="I36" s="657">
        <f>H36*3</f>
        <v>90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39" zoomScale="70" zoomScaleNormal="70" zoomScaleSheetLayoutView="50" zoomScalePageLayoutView="50" workbookViewId="0">
      <selection activeCell="K52" sqref="K52"/>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Florida State College at Jacksonville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50859</v>
      </c>
      <c r="E10" s="518">
        <v>0</v>
      </c>
      <c r="F10" s="519">
        <f t="shared" ref="F10:F15" si="0">+D10-E10</f>
        <v>50859</v>
      </c>
      <c r="G10" s="519">
        <f>'EXHIBIT B'!B14</f>
        <v>91.79</v>
      </c>
      <c r="H10" s="1156">
        <f>ROUND(+F10*G10,0)</f>
        <v>4668348</v>
      </c>
    </row>
    <row r="11" spans="1:9" ht="20.100000000000001" customHeight="1">
      <c r="A11" s="660" t="s">
        <v>191</v>
      </c>
      <c r="B11" s="660" t="s">
        <v>123</v>
      </c>
      <c r="C11" s="661" t="s">
        <v>218</v>
      </c>
      <c r="D11" s="659">
        <v>258057.4</v>
      </c>
      <c r="E11" s="659">
        <v>0</v>
      </c>
      <c r="F11" s="662">
        <f t="shared" si="0"/>
        <v>258057.4</v>
      </c>
      <c r="G11" s="662">
        <f>+'EXHIBIT B'!B15</f>
        <v>82.78</v>
      </c>
      <c r="H11" s="663">
        <f t="shared" ref="H11:H15" si="1">ROUND(+F11*G11,0)</f>
        <v>21361992</v>
      </c>
    </row>
    <row r="12" spans="1:9" ht="20.100000000000001" customHeight="1">
      <c r="A12" s="660" t="s">
        <v>191</v>
      </c>
      <c r="B12" s="660" t="s">
        <v>124</v>
      </c>
      <c r="C12" s="661" t="s">
        <v>219</v>
      </c>
      <c r="D12" s="659">
        <v>111509.8</v>
      </c>
      <c r="E12" s="659">
        <v>0</v>
      </c>
      <c r="F12" s="662">
        <f t="shared" si="0"/>
        <v>111509.8</v>
      </c>
      <c r="G12" s="662">
        <f>+'EXHIBIT B'!B15</f>
        <v>82.78</v>
      </c>
      <c r="H12" s="663">
        <f t="shared" si="1"/>
        <v>9230781</v>
      </c>
    </row>
    <row r="13" spans="1:9" ht="20.100000000000001" customHeight="1">
      <c r="A13" s="660" t="s">
        <v>191</v>
      </c>
      <c r="B13" s="660" t="s">
        <v>74</v>
      </c>
      <c r="C13" s="661" t="s">
        <v>220</v>
      </c>
      <c r="D13" s="664">
        <v>26227</v>
      </c>
      <c r="E13" s="664">
        <v>0</v>
      </c>
      <c r="F13" s="662">
        <f t="shared" si="0"/>
        <v>26227</v>
      </c>
      <c r="G13" s="662">
        <f>+'EXHIBIT B'!B16</f>
        <v>73.2</v>
      </c>
      <c r="H13" s="663">
        <f t="shared" si="1"/>
        <v>1919816</v>
      </c>
    </row>
    <row r="14" spans="1:9" ht="20.100000000000001" customHeight="1">
      <c r="A14" s="660" t="s">
        <v>191</v>
      </c>
      <c r="B14" s="660" t="s">
        <v>125</v>
      </c>
      <c r="C14" s="661" t="s">
        <v>221</v>
      </c>
      <c r="D14" s="659">
        <v>24704</v>
      </c>
      <c r="E14" s="659">
        <v>0</v>
      </c>
      <c r="F14" s="662">
        <f t="shared" si="0"/>
        <v>24704</v>
      </c>
      <c r="G14" s="662">
        <f>+'EXHIBIT B'!B15</f>
        <v>82.78</v>
      </c>
      <c r="H14" s="663">
        <f t="shared" si="1"/>
        <v>2044997</v>
      </c>
    </row>
    <row r="15" spans="1:9" ht="20.100000000000001" customHeight="1" thickBot="1">
      <c r="A15" s="665" t="s">
        <v>191</v>
      </c>
      <c r="B15" s="665" t="s">
        <v>126</v>
      </c>
      <c r="C15" s="666">
        <v>40160</v>
      </c>
      <c r="D15" s="667">
        <v>8</v>
      </c>
      <c r="E15" s="667">
        <v>0</v>
      </c>
      <c r="F15" s="668">
        <f t="shared" si="0"/>
        <v>8</v>
      </c>
      <c r="G15" s="668">
        <f>+'EXHIBIT B'!B15</f>
        <v>82.78</v>
      </c>
      <c r="H15" s="669">
        <f t="shared" si="1"/>
        <v>662</v>
      </c>
    </row>
    <row r="16" spans="1:9" ht="24.95" customHeight="1" thickBot="1">
      <c r="A16" s="286"/>
      <c r="B16" s="286"/>
      <c r="C16" s="286"/>
      <c r="D16" s="287"/>
      <c r="E16" s="287"/>
      <c r="F16" s="288"/>
      <c r="G16" s="288"/>
      <c r="H16" s="289"/>
    </row>
    <row r="17" spans="1:9" ht="24.95" customHeight="1" thickBot="1">
      <c r="A17" s="290"/>
      <c r="B17" s="291" t="s">
        <v>222</v>
      </c>
      <c r="C17" s="291"/>
      <c r="D17" s="292">
        <f>SUM(D10:D15)</f>
        <v>471365.2</v>
      </c>
      <c r="E17" s="292">
        <f>SUM(E10:E15)</f>
        <v>0</v>
      </c>
      <c r="F17" s="293">
        <f>SUM(F10:F15)</f>
        <v>471365.2</v>
      </c>
      <c r="G17" s="293"/>
      <c r="H17" s="294">
        <f>SUM(H10:H15)</f>
        <v>39226596</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914.1</v>
      </c>
      <c r="E19" s="671">
        <f>'EXHIBIT B'!C29</f>
        <v>239.32</v>
      </c>
      <c r="F19" s="1155">
        <f t="shared" ref="F19:F25" si="2">ROUND(+D19*E19,0)</f>
        <v>218762</v>
      </c>
      <c r="G19" s="296"/>
      <c r="H19" s="296"/>
    </row>
    <row r="20" spans="1:9" ht="20.100000000000001" customHeight="1">
      <c r="A20" s="611" t="s">
        <v>206</v>
      </c>
      <c r="B20" s="611" t="s">
        <v>123</v>
      </c>
      <c r="C20" s="672" t="s">
        <v>225</v>
      </c>
      <c r="D20" s="679">
        <v>8915.4</v>
      </c>
      <c r="E20" s="673">
        <f>+'EXHIBIT B'!C30</f>
        <v>248.33</v>
      </c>
      <c r="F20" s="674">
        <f t="shared" si="2"/>
        <v>2213961</v>
      </c>
      <c r="G20" s="42"/>
      <c r="H20" s="42"/>
    </row>
    <row r="21" spans="1:9" ht="20.100000000000001" customHeight="1">
      <c r="A21" s="611" t="s">
        <v>206</v>
      </c>
      <c r="B21" s="611" t="s">
        <v>124</v>
      </c>
      <c r="C21" s="672" t="s">
        <v>226</v>
      </c>
      <c r="D21" s="679">
        <v>2500.8000000000002</v>
      </c>
      <c r="E21" s="673">
        <f>+'EXHIBIT B'!C30</f>
        <v>248.33</v>
      </c>
      <c r="F21" s="674">
        <f t="shared" si="2"/>
        <v>621024</v>
      </c>
      <c r="G21" s="42"/>
      <c r="H21" s="42"/>
    </row>
    <row r="22" spans="1:9" ht="20.100000000000001" customHeight="1">
      <c r="A22" s="611" t="s">
        <v>206</v>
      </c>
      <c r="B22" s="611" t="s">
        <v>74</v>
      </c>
      <c r="C22" s="672" t="s">
        <v>227</v>
      </c>
      <c r="D22" s="679">
        <v>1290.7</v>
      </c>
      <c r="E22" s="673">
        <f>+'EXHIBIT B'!C31</f>
        <v>219.6</v>
      </c>
      <c r="F22" s="674">
        <f t="shared" si="2"/>
        <v>283438</v>
      </c>
      <c r="G22" s="42"/>
      <c r="H22" s="42"/>
    </row>
    <row r="23" spans="1:9" ht="20.100000000000001" customHeight="1">
      <c r="A23" s="611" t="s">
        <v>206</v>
      </c>
      <c r="B23" s="611" t="s">
        <v>125</v>
      </c>
      <c r="C23" s="672" t="s">
        <v>228</v>
      </c>
      <c r="D23" s="679">
        <v>1592.4</v>
      </c>
      <c r="E23" s="673">
        <f>+'EXHIBIT B'!C30</f>
        <v>248.33</v>
      </c>
      <c r="F23" s="674">
        <f t="shared" si="2"/>
        <v>395441</v>
      </c>
      <c r="G23" s="42"/>
      <c r="H23" s="42"/>
    </row>
    <row r="24" spans="1:9" ht="20.100000000000001" customHeight="1">
      <c r="A24" s="1017" t="s">
        <v>206</v>
      </c>
      <c r="B24" s="1017" t="s">
        <v>723</v>
      </c>
      <c r="C24" s="1111">
        <v>40360</v>
      </c>
      <c r="D24" s="1112">
        <v>31.1</v>
      </c>
      <c r="E24" s="1113">
        <f>+'EXHIBIT B'!C30</f>
        <v>248.33</v>
      </c>
      <c r="F24" s="1114">
        <f t="shared" si="2"/>
        <v>7723</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15244.5</v>
      </c>
      <c r="E27" s="677"/>
      <c r="F27" s="678">
        <f>SUM(F19:F25)</f>
        <v>3740349</v>
      </c>
      <c r="G27" s="300"/>
      <c r="H27" s="300"/>
    </row>
    <row r="28" spans="1:9" ht="20.100000000000001" customHeight="1" thickBot="1">
      <c r="A28" s="301" t="s">
        <v>229</v>
      </c>
      <c r="B28" s="301"/>
      <c r="C28" s="301"/>
      <c r="D28" s="301"/>
      <c r="E28" s="301"/>
      <c r="F28" s="302"/>
      <c r="G28" s="520"/>
      <c r="H28" s="303">
        <f>H17+F27</f>
        <v>42966945</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8</v>
      </c>
      <c r="E33" s="523">
        <v>0</v>
      </c>
      <c r="F33" s="524">
        <f>D33-E33</f>
        <v>8</v>
      </c>
      <c r="G33" s="524">
        <f>'EXHIBIT B'!B19</f>
        <v>30</v>
      </c>
      <c r="H33" s="525">
        <f>ROUND(+F33*G33,0)</f>
        <v>240</v>
      </c>
    </row>
    <row r="34" spans="1:8" ht="20.100000000000001" customHeight="1">
      <c r="A34" s="611" t="s">
        <v>235</v>
      </c>
      <c r="B34" s="611" t="s">
        <v>238</v>
      </c>
      <c r="C34" s="672" t="s">
        <v>239</v>
      </c>
      <c r="D34" s="679">
        <v>5322</v>
      </c>
      <c r="E34" s="679">
        <v>0</v>
      </c>
      <c r="F34" s="673">
        <f>D34-E34</f>
        <v>5322</v>
      </c>
      <c r="G34" s="673">
        <f>'EXHIBIT B'!B20</f>
        <v>30</v>
      </c>
      <c r="H34" s="674">
        <f>ROUND(+F34*G34,0)</f>
        <v>159660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5330</v>
      </c>
      <c r="E37" s="306">
        <f>SUM(E33:E36)</f>
        <v>0</v>
      </c>
      <c r="F37" s="307">
        <f>D37-E37</f>
        <v>5330</v>
      </c>
      <c r="G37" s="307"/>
      <c r="H37" s="308">
        <f>SUM(H33:H36)</f>
        <v>159900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30</v>
      </c>
      <c r="F40" s="1153">
        <f>D40*E40</f>
        <v>0</v>
      </c>
    </row>
    <row r="41" spans="1:8" ht="20.100000000000001" customHeight="1">
      <c r="A41" s="611" t="s">
        <v>235</v>
      </c>
      <c r="B41" s="611" t="s">
        <v>238</v>
      </c>
      <c r="C41" s="672">
        <v>40390</v>
      </c>
      <c r="D41" s="679">
        <v>0</v>
      </c>
      <c r="E41" s="673">
        <f>'EXHIBIT B'!B36</f>
        <v>30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159900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43126845</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2000000</v>
      </c>
      <c r="C55" s="1092">
        <v>1</v>
      </c>
      <c r="D55" s="1093"/>
      <c r="E55" s="934">
        <v>2</v>
      </c>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2000000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160000</v>
      </c>
      <c r="C64" s="934"/>
      <c r="D64" s="935">
        <v>3</v>
      </c>
      <c r="E64" s="934">
        <v>1</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160000</v>
      </c>
      <c r="C70" s="944"/>
      <c r="D70" s="945"/>
      <c r="E70" s="944"/>
      <c r="F70" s="945"/>
    </row>
    <row r="71" spans="1:6" ht="24.95" customHeight="1" thickBot="1">
      <c r="A71" s="280" t="s">
        <v>254</v>
      </c>
      <c r="B71" s="281">
        <f>+B70+B61</f>
        <v>2160000</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Florida State College at Jacksonville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12" zoomScale="70" zoomScaleNormal="70" zoomScaleSheetLayoutView="70" zoomScalePageLayoutView="70" workbookViewId="0">
      <selection activeCell="G228" sqref="G228"/>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Florida State College at Jacksonville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4668348</v>
      </c>
    </row>
    <row r="13" spans="1:8" ht="20.100000000000001" customHeight="1">
      <c r="A13" s="478" t="s">
        <v>191</v>
      </c>
      <c r="B13" s="176"/>
      <c r="C13" s="169" t="s">
        <v>123</v>
      </c>
      <c r="D13" s="176"/>
      <c r="E13" s="176"/>
      <c r="F13" s="180" t="s">
        <v>218</v>
      </c>
      <c r="G13" s="1146">
        <f>+'EXHIBIT C'!H11+'EXHIBIT C(2)'!E14</f>
        <v>21361992</v>
      </c>
    </row>
    <row r="14" spans="1:8" ht="20.100000000000001" customHeight="1">
      <c r="A14" s="478" t="s">
        <v>191</v>
      </c>
      <c r="B14" s="176"/>
      <c r="C14" s="176" t="s">
        <v>124</v>
      </c>
      <c r="D14" s="176"/>
      <c r="E14" s="176"/>
      <c r="F14" s="180" t="s">
        <v>219</v>
      </c>
      <c r="G14" s="1147">
        <f>+'EXHIBIT C'!H12+'EXHIBIT C(2)'!E15</f>
        <v>9230781</v>
      </c>
    </row>
    <row r="15" spans="1:8" ht="20.100000000000001" customHeight="1">
      <c r="A15" s="478" t="s">
        <v>191</v>
      </c>
      <c r="B15" s="176"/>
      <c r="C15" s="181" t="s">
        <v>271</v>
      </c>
      <c r="D15" s="176"/>
      <c r="E15" s="176"/>
      <c r="F15" s="180" t="s">
        <v>220</v>
      </c>
      <c r="G15" s="1147">
        <f>+'EXHIBIT C'!H13+'EXHIBIT C(2)'!E16</f>
        <v>1919816</v>
      </c>
    </row>
    <row r="16" spans="1:8" ht="20.100000000000001" customHeight="1">
      <c r="A16" s="478" t="s">
        <v>191</v>
      </c>
      <c r="B16" s="176"/>
      <c r="C16" s="181" t="s">
        <v>272</v>
      </c>
      <c r="D16" s="176"/>
      <c r="E16" s="176"/>
      <c r="F16" s="180" t="s">
        <v>221</v>
      </c>
      <c r="G16" s="182">
        <f>+'EXHIBIT C'!H14+'EXHIBIT C(2)'!E17</f>
        <v>2044997</v>
      </c>
    </row>
    <row r="17" spans="1:7" ht="20.100000000000001" customHeight="1">
      <c r="A17" s="478" t="s">
        <v>191</v>
      </c>
      <c r="B17" s="176"/>
      <c r="C17" s="169" t="s">
        <v>126</v>
      </c>
      <c r="D17" s="176"/>
      <c r="E17" s="176"/>
      <c r="F17" s="179">
        <v>40160</v>
      </c>
      <c r="G17" s="182">
        <f>+'EXHIBIT C'!H15+'EXHIBIT C(2)'!E18</f>
        <v>662</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39226596</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218762</v>
      </c>
    </row>
    <row r="22" spans="1:7" ht="20.100000000000001" customHeight="1">
      <c r="A22" s="478" t="s">
        <v>206</v>
      </c>
      <c r="B22" s="176"/>
      <c r="C22" s="169" t="s">
        <v>123</v>
      </c>
      <c r="D22" s="176"/>
      <c r="E22" s="176"/>
      <c r="F22" s="180" t="s">
        <v>225</v>
      </c>
      <c r="G22" s="1148">
        <f>+'EXHIBIT C'!F20+'EXHIBIT C(2)'!E23</f>
        <v>2213961</v>
      </c>
    </row>
    <row r="23" spans="1:7" ht="20.100000000000001" customHeight="1">
      <c r="A23" s="478" t="s">
        <v>206</v>
      </c>
      <c r="B23" s="176"/>
      <c r="C23" s="176" t="s">
        <v>124</v>
      </c>
      <c r="D23" s="176"/>
      <c r="E23" s="176"/>
      <c r="F23" s="180" t="s">
        <v>226</v>
      </c>
      <c r="G23" s="1149">
        <f>+'EXHIBIT C'!F21+'EXHIBIT C(2)'!E24</f>
        <v>621024</v>
      </c>
    </row>
    <row r="24" spans="1:7" ht="20.100000000000001" customHeight="1">
      <c r="A24" s="478" t="s">
        <v>206</v>
      </c>
      <c r="B24" s="176"/>
      <c r="C24" s="181" t="s">
        <v>271</v>
      </c>
      <c r="D24" s="176"/>
      <c r="E24" s="176"/>
      <c r="F24" s="180" t="s">
        <v>227</v>
      </c>
      <c r="G24" s="1149">
        <f>+'EXHIBIT C'!F22+'EXHIBIT C(2)'!E25</f>
        <v>283438</v>
      </c>
    </row>
    <row r="25" spans="1:7" ht="20.100000000000001" customHeight="1">
      <c r="A25" s="478" t="s">
        <v>206</v>
      </c>
      <c r="B25" s="176"/>
      <c r="C25" s="181" t="s">
        <v>272</v>
      </c>
      <c r="D25" s="176"/>
      <c r="E25" s="176"/>
      <c r="F25" s="180" t="s">
        <v>228</v>
      </c>
      <c r="G25" s="1149">
        <f>+'EXHIBIT C'!F23+'EXHIBIT C(2)'!E26</f>
        <v>395441</v>
      </c>
    </row>
    <row r="26" spans="1:7" ht="20.100000000000001" customHeight="1">
      <c r="A26" s="478" t="s">
        <v>206</v>
      </c>
      <c r="B26" s="176"/>
      <c r="C26" s="169" t="s">
        <v>723</v>
      </c>
      <c r="D26" s="176"/>
      <c r="E26" s="176"/>
      <c r="F26" s="179">
        <v>40360</v>
      </c>
      <c r="G26" s="1149">
        <f>+'EXHIBIT C'!F24+'EXHIBIT C(2)'!E27</f>
        <v>7723</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3740349</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240</v>
      </c>
    </row>
    <row r="32" spans="1:7" ht="20.100000000000001" customHeight="1">
      <c r="A32" s="478" t="s">
        <v>275</v>
      </c>
      <c r="B32" s="176"/>
      <c r="C32" s="169" t="s">
        <v>238</v>
      </c>
      <c r="D32" s="176"/>
      <c r="E32" s="176"/>
      <c r="F32" s="180" t="s">
        <v>239</v>
      </c>
      <c r="G32" s="182">
        <f>'EXHIBIT C'!H34</f>
        <v>159660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159900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43126845</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4764659</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0</v>
      </c>
    </row>
    <row r="51" spans="1:7" ht="20.100000000000001" customHeight="1">
      <c r="A51" s="478" t="s">
        <v>713</v>
      </c>
      <c r="B51" s="176"/>
      <c r="C51" s="176"/>
      <c r="D51" s="176"/>
      <c r="E51" s="176"/>
      <c r="F51" s="195">
        <v>40280</v>
      </c>
      <c r="G51" s="1150">
        <v>1550122</v>
      </c>
    </row>
    <row r="52" spans="1:7" ht="20.100000000000001" customHeight="1">
      <c r="A52" s="478" t="s">
        <v>290</v>
      </c>
      <c r="B52" s="176"/>
      <c r="C52" s="176"/>
      <c r="D52" s="176"/>
      <c r="E52" s="176"/>
      <c r="F52" s="180" t="s">
        <v>291</v>
      </c>
      <c r="G52" s="1150">
        <v>1609500</v>
      </c>
    </row>
    <row r="53" spans="1:7" ht="20.100000000000001" customHeight="1">
      <c r="A53" s="478" t="s">
        <v>292</v>
      </c>
      <c r="B53" s="176"/>
      <c r="C53" s="176"/>
      <c r="D53" s="176"/>
      <c r="E53" s="176"/>
      <c r="F53" s="179">
        <v>40450</v>
      </c>
      <c r="G53" s="1150">
        <v>4175500</v>
      </c>
    </row>
    <row r="54" spans="1:7" ht="20.100000000000001" customHeight="1">
      <c r="A54" s="478" t="s">
        <v>293</v>
      </c>
      <c r="B54" s="176"/>
      <c r="C54" s="176"/>
      <c r="D54" s="176"/>
      <c r="E54" s="176"/>
      <c r="F54" s="180" t="s">
        <v>294</v>
      </c>
      <c r="G54" s="1150">
        <v>597052</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2778925</v>
      </c>
    </row>
    <row r="61" spans="1:7" ht="20.100000000000001" customHeight="1">
      <c r="A61" s="478" t="s">
        <v>307</v>
      </c>
      <c r="B61" s="176"/>
      <c r="C61" s="176"/>
      <c r="D61" s="176"/>
      <c r="E61" s="176"/>
      <c r="F61" s="180" t="s">
        <v>308</v>
      </c>
      <c r="G61" s="1150">
        <v>628875</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213490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59444968</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75000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75000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76188848</v>
      </c>
    </row>
    <row r="78" spans="1:7" ht="20.100000000000001" customHeight="1">
      <c r="A78" s="478" t="s">
        <v>681</v>
      </c>
      <c r="B78" s="176"/>
      <c r="C78" s="176"/>
      <c r="D78" s="176"/>
      <c r="E78" s="176"/>
      <c r="F78" s="179">
        <v>42130</v>
      </c>
      <c r="G78" s="1152">
        <v>2212839</v>
      </c>
    </row>
    <row r="79" spans="1:7" ht="20.100000000000001" customHeight="1">
      <c r="A79" s="480" t="s">
        <v>325</v>
      </c>
      <c r="B79" s="481"/>
      <c r="C79" s="481"/>
      <c r="D79" s="481"/>
      <c r="E79" s="481"/>
      <c r="F79" s="191" t="s">
        <v>326</v>
      </c>
      <c r="G79" s="1150">
        <v>1028072</v>
      </c>
    </row>
    <row r="80" spans="1:7" ht="20.100000000000001" customHeight="1">
      <c r="A80" s="478" t="s">
        <v>327</v>
      </c>
      <c r="B80" s="176"/>
      <c r="C80" s="176"/>
      <c r="D80" s="176"/>
      <c r="E80" s="176"/>
      <c r="F80" s="180" t="s">
        <v>328</v>
      </c>
      <c r="G80" s="1152">
        <v>0</v>
      </c>
    </row>
    <row r="81" spans="1:10" ht="20.100000000000001" customHeight="1">
      <c r="A81" s="478" t="s">
        <v>696</v>
      </c>
      <c r="B81" s="176"/>
      <c r="C81" s="176"/>
      <c r="D81" s="176"/>
      <c r="E81" s="176"/>
      <c r="F81" s="180" t="s">
        <v>329</v>
      </c>
      <c r="G81" s="1152">
        <v>735540</v>
      </c>
    </row>
    <row r="82" spans="1:10" ht="20.100000000000001" customHeight="1">
      <c r="A82" s="478" t="s">
        <v>330</v>
      </c>
      <c r="B82" s="176"/>
      <c r="C82" s="176"/>
      <c r="D82" s="176"/>
      <c r="E82" s="176"/>
      <c r="F82" s="180" t="s">
        <v>331</v>
      </c>
      <c r="G82" s="1151">
        <f>'CHECK SHEET'!D86</f>
        <v>16150515</v>
      </c>
    </row>
    <row r="83" spans="1:10" ht="20.100000000000001" customHeight="1">
      <c r="A83" s="482" t="s">
        <v>332</v>
      </c>
      <c r="B83" s="483"/>
      <c r="C83" s="483"/>
      <c r="D83" s="483"/>
      <c r="E83" s="483"/>
      <c r="F83" s="190" t="s">
        <v>333</v>
      </c>
      <c r="G83" s="1152">
        <v>0</v>
      </c>
    </row>
    <row r="84" spans="1:10" ht="20.100000000000001" customHeight="1">
      <c r="A84" s="478" t="s">
        <v>334</v>
      </c>
      <c r="B84" s="176"/>
      <c r="C84" s="176"/>
      <c r="D84" s="176"/>
      <c r="E84" s="176"/>
      <c r="F84" s="180" t="s">
        <v>335</v>
      </c>
      <c r="G84" s="1152">
        <v>100295</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96416109</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10000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465000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475000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10000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15000</v>
      </c>
    </row>
    <row r="104" spans="1:7" ht="20.100000000000001" customHeight="1">
      <c r="A104" s="478" t="s">
        <v>350</v>
      </c>
      <c r="B104" s="176"/>
      <c r="C104" s="176"/>
      <c r="D104" s="176"/>
      <c r="E104" s="176"/>
      <c r="F104" s="180" t="s">
        <v>351</v>
      </c>
      <c r="G104" s="432">
        <v>15000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40000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705700</v>
      </c>
    </row>
    <row r="112" spans="1:7" ht="20.100000000000001" customHeight="1">
      <c r="A112" s="478" t="s">
        <v>357</v>
      </c>
      <c r="B112" s="176"/>
      <c r="C112" s="176"/>
      <c r="D112" s="176"/>
      <c r="E112" s="176"/>
      <c r="F112" s="180" t="s">
        <v>358</v>
      </c>
      <c r="G112" s="432">
        <v>305500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1011200</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1205500</v>
      </c>
    </row>
    <row r="125" spans="1:7" ht="20.100000000000001" customHeight="1">
      <c r="A125" s="478" t="s">
        <v>369</v>
      </c>
      <c r="B125" s="176"/>
      <c r="C125" s="176"/>
      <c r="D125" s="176"/>
      <c r="E125" s="176"/>
      <c r="F125" s="180" t="s">
        <v>370</v>
      </c>
      <c r="G125" s="432">
        <v>48000</v>
      </c>
    </row>
    <row r="126" spans="1:7" ht="20.100000000000001" customHeight="1">
      <c r="A126" s="478" t="s">
        <v>371</v>
      </c>
      <c r="B126" s="176"/>
      <c r="C126" s="176"/>
      <c r="D126" s="176"/>
      <c r="E126" s="176"/>
      <c r="F126" s="180" t="s">
        <v>372</v>
      </c>
      <c r="G126" s="432">
        <v>1500</v>
      </c>
    </row>
    <row r="127" spans="1:7" ht="20.100000000000001" customHeight="1">
      <c r="A127" s="478" t="s">
        <v>718</v>
      </c>
      <c r="B127" s="176"/>
      <c r="C127" s="176"/>
      <c r="D127" s="176"/>
      <c r="E127" s="176"/>
      <c r="F127" s="180" t="s">
        <v>373</v>
      </c>
      <c r="G127" s="432">
        <v>165000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1420000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160000</v>
      </c>
    </row>
    <row r="135" spans="1:7" ht="20.100000000000001" customHeight="1">
      <c r="A135" s="478" t="s">
        <v>719</v>
      </c>
      <c r="B135" s="176"/>
      <c r="C135" s="176"/>
      <c r="D135" s="176"/>
      <c r="E135" s="176"/>
      <c r="F135" s="1012" t="s">
        <v>378</v>
      </c>
      <c r="G135" s="432">
        <v>30000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190000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159072277</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1295322</v>
      </c>
    </row>
    <row r="148" spans="1:7" ht="20.100000000000001" customHeight="1">
      <c r="A148" s="478" t="s">
        <v>389</v>
      </c>
      <c r="F148" s="180" t="s">
        <v>390</v>
      </c>
      <c r="G148" s="434">
        <v>3777832</v>
      </c>
    </row>
    <row r="149" spans="1:7" ht="20.100000000000001" customHeight="1">
      <c r="A149" s="478" t="s">
        <v>391</v>
      </c>
      <c r="F149" s="180" t="s">
        <v>392</v>
      </c>
      <c r="G149" s="434">
        <v>4250469</v>
      </c>
    </row>
    <row r="150" spans="1:7" ht="20.100000000000001" customHeight="1">
      <c r="A150" s="478" t="s">
        <v>393</v>
      </c>
      <c r="F150" s="180" t="s">
        <v>394</v>
      </c>
      <c r="G150" s="434">
        <v>0</v>
      </c>
    </row>
    <row r="151" spans="1:7" ht="20.100000000000001" customHeight="1">
      <c r="A151" s="478" t="s">
        <v>395</v>
      </c>
      <c r="F151" s="180" t="s">
        <v>396</v>
      </c>
      <c r="G151" s="434">
        <v>205459</v>
      </c>
    </row>
    <row r="152" spans="1:7" ht="20.100000000000001" customHeight="1">
      <c r="A152" s="478" t="s">
        <v>397</v>
      </c>
      <c r="B152" s="176"/>
      <c r="C152" s="176"/>
      <c r="D152" s="176"/>
      <c r="E152" s="176"/>
      <c r="F152" s="180" t="s">
        <v>398</v>
      </c>
      <c r="G152" s="434">
        <v>22792467</v>
      </c>
    </row>
    <row r="153" spans="1:7" ht="20.100000000000001" customHeight="1">
      <c r="A153" s="478" t="s">
        <v>399</v>
      </c>
      <c r="B153" s="176"/>
      <c r="C153" s="176"/>
      <c r="D153" s="176"/>
      <c r="E153" s="176"/>
      <c r="F153" s="180" t="s">
        <v>400</v>
      </c>
      <c r="G153" s="434">
        <v>7466227</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12732181</v>
      </c>
    </row>
    <row r="163" spans="1:7" ht="20.100000000000001" customHeight="1">
      <c r="A163" s="478" t="s">
        <v>418</v>
      </c>
      <c r="B163" s="176"/>
      <c r="C163" s="176"/>
      <c r="D163" s="176"/>
      <c r="E163" s="176"/>
      <c r="F163" s="180" t="s">
        <v>419</v>
      </c>
      <c r="G163" s="434">
        <v>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25055857</v>
      </c>
    </row>
    <row r="168" spans="1:7" ht="20.100000000000001" customHeight="1">
      <c r="A168" s="478" t="s">
        <v>428</v>
      </c>
      <c r="B168" s="176"/>
      <c r="C168" s="176"/>
      <c r="D168" s="176"/>
      <c r="E168" s="176"/>
      <c r="F168" s="180" t="s">
        <v>429</v>
      </c>
      <c r="G168" s="434">
        <v>0</v>
      </c>
    </row>
    <row r="169" spans="1:7" ht="20.100000000000001" customHeight="1">
      <c r="A169" s="478" t="s">
        <v>430</v>
      </c>
      <c r="B169" s="176"/>
      <c r="C169" s="176"/>
      <c r="D169" s="176"/>
      <c r="E169" s="176"/>
      <c r="F169" s="180" t="s">
        <v>431</v>
      </c>
      <c r="G169" s="434">
        <v>1376058</v>
      </c>
    </row>
    <row r="170" spans="1:7" ht="20.100000000000001" customHeight="1">
      <c r="A170" s="478" t="s">
        <v>432</v>
      </c>
      <c r="B170" s="176"/>
      <c r="C170" s="176"/>
      <c r="D170" s="176"/>
      <c r="E170" s="176"/>
      <c r="F170" s="180" t="s">
        <v>433</v>
      </c>
      <c r="G170" s="434">
        <v>57797</v>
      </c>
    </row>
    <row r="171" spans="1:7" ht="20.100000000000001" customHeight="1">
      <c r="A171" s="478" t="s">
        <v>434</v>
      </c>
      <c r="B171" s="176"/>
      <c r="C171" s="176"/>
      <c r="D171" s="176"/>
      <c r="E171" s="176"/>
      <c r="F171" s="180" t="s">
        <v>435</v>
      </c>
      <c r="G171" s="434">
        <v>0</v>
      </c>
    </row>
    <row r="172" spans="1:7" ht="20.100000000000001" customHeight="1">
      <c r="A172" s="478" t="s">
        <v>436</v>
      </c>
      <c r="B172" s="176"/>
      <c r="C172" s="176"/>
      <c r="D172" s="176"/>
      <c r="E172" s="176"/>
      <c r="F172" s="179">
        <v>56001</v>
      </c>
      <c r="G172" s="434">
        <v>9871352</v>
      </c>
    </row>
    <row r="173" spans="1:7" ht="20.100000000000001" customHeight="1">
      <c r="A173" s="478" t="s">
        <v>437</v>
      </c>
      <c r="B173" s="176"/>
      <c r="C173" s="176"/>
      <c r="D173" s="176"/>
      <c r="E173" s="176"/>
      <c r="F173" s="179">
        <v>56002</v>
      </c>
      <c r="G173" s="434">
        <v>174856</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0</v>
      </c>
    </row>
    <row r="178" spans="1:7" ht="20.100000000000001" customHeight="1">
      <c r="A178" s="478" t="s">
        <v>445</v>
      </c>
      <c r="B178" s="176"/>
      <c r="C178" s="176"/>
      <c r="D178" s="176"/>
      <c r="E178" s="176"/>
      <c r="F178" s="180" t="s">
        <v>446</v>
      </c>
      <c r="G178" s="434">
        <v>125785</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731396</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6801479</v>
      </c>
    </row>
    <row r="185" spans="1:7" ht="20.100000000000001" customHeight="1">
      <c r="A185" s="478" t="s">
        <v>459</v>
      </c>
      <c r="B185" s="176"/>
      <c r="C185" s="176"/>
      <c r="D185" s="176"/>
      <c r="E185" s="176"/>
      <c r="F185" s="180" t="s">
        <v>460</v>
      </c>
      <c r="G185" s="434">
        <v>11030554</v>
      </c>
    </row>
    <row r="186" spans="1:7" ht="20.100000000000001" customHeight="1">
      <c r="A186" s="478" t="s">
        <v>461</v>
      </c>
      <c r="B186" s="176"/>
      <c r="C186" s="176"/>
      <c r="D186" s="176"/>
      <c r="E186" s="176"/>
      <c r="F186" s="180" t="s">
        <v>462</v>
      </c>
      <c r="G186" s="434">
        <v>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19696499</v>
      </c>
    </row>
    <row r="191" spans="1:7" ht="20.100000000000001" customHeight="1">
      <c r="A191" s="478" t="s">
        <v>720</v>
      </c>
      <c r="B191" s="176"/>
      <c r="C191" s="176"/>
      <c r="D191" s="176"/>
      <c r="E191" s="176"/>
      <c r="F191" s="180" t="s">
        <v>471</v>
      </c>
      <c r="G191" s="434">
        <v>810000</v>
      </c>
    </row>
    <row r="192" spans="1:7" ht="20.100000000000001" customHeight="1">
      <c r="A192" s="478" t="s">
        <v>472</v>
      </c>
      <c r="B192" s="176"/>
      <c r="C192" s="176"/>
      <c r="D192" s="176"/>
      <c r="E192" s="176"/>
      <c r="F192" s="180" t="s">
        <v>473</v>
      </c>
      <c r="G192" s="434">
        <v>-2305495</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125946095</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774828</v>
      </c>
    </row>
    <row r="199" spans="1:7" ht="20.100000000000001" customHeight="1">
      <c r="A199" s="478" t="s">
        <v>478</v>
      </c>
      <c r="B199" s="176"/>
      <c r="C199" s="176"/>
      <c r="D199" s="176"/>
      <c r="E199" s="176"/>
      <c r="F199" s="180" t="s">
        <v>479</v>
      </c>
      <c r="G199" s="434">
        <v>80097</v>
      </c>
    </row>
    <row r="200" spans="1:7" ht="20.100000000000001" customHeight="1">
      <c r="A200" s="478" t="s">
        <v>480</v>
      </c>
      <c r="B200" s="176"/>
      <c r="C200" s="176"/>
      <c r="D200" s="176"/>
      <c r="E200" s="176"/>
      <c r="F200" s="180" t="s">
        <v>481</v>
      </c>
      <c r="G200" s="434">
        <v>415760</v>
      </c>
    </row>
    <row r="201" spans="1:7" ht="20.100000000000001" customHeight="1">
      <c r="A201" s="478" t="s">
        <v>482</v>
      </c>
      <c r="B201" s="176"/>
      <c r="C201" s="176"/>
      <c r="D201" s="176"/>
      <c r="E201" s="176"/>
      <c r="F201" s="180" t="s">
        <v>483</v>
      </c>
      <c r="G201" s="434">
        <v>127197</v>
      </c>
    </row>
    <row r="202" spans="1:7" ht="20.100000000000001" customHeight="1">
      <c r="A202" s="478" t="s">
        <v>484</v>
      </c>
      <c r="B202" s="176"/>
      <c r="C202" s="176"/>
      <c r="D202" s="176"/>
      <c r="E202" s="176"/>
      <c r="F202" s="180" t="s">
        <v>485</v>
      </c>
      <c r="G202" s="434">
        <v>1424422</v>
      </c>
    </row>
    <row r="203" spans="1:7" ht="20.100000000000001" customHeight="1">
      <c r="A203" s="478" t="s">
        <v>721</v>
      </c>
      <c r="B203" s="176"/>
      <c r="C203" s="176"/>
      <c r="D203" s="176"/>
      <c r="E203" s="176"/>
      <c r="F203" s="180" t="s">
        <v>487</v>
      </c>
      <c r="G203" s="434">
        <v>90329</v>
      </c>
    </row>
    <row r="204" spans="1:7" ht="20.100000000000001" customHeight="1">
      <c r="A204" s="478" t="s">
        <v>675</v>
      </c>
      <c r="B204" s="176"/>
      <c r="C204" s="176"/>
      <c r="D204" s="176"/>
      <c r="E204" s="176"/>
      <c r="F204" s="970">
        <v>63100</v>
      </c>
      <c r="G204" s="434">
        <v>171584</v>
      </c>
    </row>
    <row r="205" spans="1:7" ht="20.100000000000001" customHeight="1">
      <c r="A205" s="478" t="s">
        <v>488</v>
      </c>
      <c r="B205" s="176"/>
      <c r="C205" s="176"/>
      <c r="D205" s="176"/>
      <c r="E205" s="176"/>
      <c r="F205" s="180" t="s">
        <v>489</v>
      </c>
      <c r="G205" s="434">
        <v>1595500</v>
      </c>
    </row>
    <row r="206" spans="1:7" ht="20.100000000000001" customHeight="1">
      <c r="A206" s="478" t="s">
        <v>490</v>
      </c>
      <c r="B206" s="176"/>
      <c r="C206" s="176"/>
      <c r="D206" s="176"/>
      <c r="E206" s="176"/>
      <c r="F206" s="180" t="s">
        <v>491</v>
      </c>
      <c r="G206" s="434">
        <v>3899118</v>
      </c>
    </row>
    <row r="207" spans="1:7" ht="20.100000000000001" customHeight="1">
      <c r="A207" s="478" t="s">
        <v>492</v>
      </c>
      <c r="B207" s="176"/>
      <c r="C207" s="176"/>
      <c r="D207" s="176"/>
      <c r="E207" s="176"/>
      <c r="F207" s="180" t="s">
        <v>493</v>
      </c>
      <c r="G207" s="434">
        <v>9194858</v>
      </c>
    </row>
    <row r="208" spans="1:7" ht="20.100000000000001" customHeight="1">
      <c r="A208" s="478" t="s">
        <v>670</v>
      </c>
      <c r="B208" s="176"/>
      <c r="C208" s="176"/>
      <c r="D208" s="176"/>
      <c r="E208" s="176"/>
      <c r="F208" s="180" t="s">
        <v>494</v>
      </c>
      <c r="G208" s="434">
        <v>175</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368085</v>
      </c>
    </row>
    <row r="211" spans="1:9" ht="20.100000000000001" customHeight="1">
      <c r="A211" s="478" t="s">
        <v>499</v>
      </c>
      <c r="B211" s="176"/>
      <c r="C211" s="176"/>
      <c r="D211" s="176"/>
      <c r="E211" s="176"/>
      <c r="F211" s="180" t="s">
        <v>500</v>
      </c>
      <c r="G211" s="434">
        <v>2088555</v>
      </c>
    </row>
    <row r="212" spans="1:9" ht="20.100000000000001" customHeight="1">
      <c r="A212" s="478" t="s">
        <v>501</v>
      </c>
      <c r="F212" s="195" t="s">
        <v>502</v>
      </c>
      <c r="G212" s="434">
        <v>5299112</v>
      </c>
    </row>
    <row r="213" spans="1:9" ht="20.100000000000001" customHeight="1">
      <c r="A213" s="478" t="s">
        <v>503</v>
      </c>
      <c r="B213" s="176"/>
      <c r="C213" s="176"/>
      <c r="D213" s="176"/>
      <c r="E213" s="176"/>
      <c r="F213" s="180" t="s">
        <v>504</v>
      </c>
      <c r="G213" s="434">
        <v>769551</v>
      </c>
    </row>
    <row r="214" spans="1:9" ht="20.100000000000001" customHeight="1">
      <c r="A214" s="478" t="s">
        <v>505</v>
      </c>
      <c r="B214" s="176"/>
      <c r="C214" s="176"/>
      <c r="D214" s="176"/>
      <c r="E214" s="176"/>
      <c r="F214" s="180" t="s">
        <v>506</v>
      </c>
      <c r="G214" s="434">
        <v>1081247</v>
      </c>
    </row>
    <row r="215" spans="1:9" ht="20.100000000000001" customHeight="1">
      <c r="A215" s="478" t="s">
        <v>507</v>
      </c>
      <c r="B215" s="176"/>
      <c r="C215" s="176"/>
      <c r="D215" s="176"/>
      <c r="E215" s="176"/>
      <c r="F215" s="180" t="s">
        <v>508</v>
      </c>
      <c r="G215" s="434">
        <v>497671</v>
      </c>
    </row>
    <row r="216" spans="1:9" ht="20.100000000000001" customHeight="1">
      <c r="A216" s="478" t="s">
        <v>722</v>
      </c>
      <c r="B216" s="176"/>
      <c r="C216" s="176"/>
      <c r="D216" s="176"/>
      <c r="E216" s="176"/>
      <c r="F216" s="193" t="s">
        <v>509</v>
      </c>
      <c r="G216" s="434">
        <v>43</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102566</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0</v>
      </c>
    </row>
    <row r="223" spans="1:9" ht="20.100000000000001" customHeight="1">
      <c r="A223" s="489" t="s">
        <v>685</v>
      </c>
      <c r="B223" s="202"/>
      <c r="C223" s="202"/>
      <c r="D223" s="203"/>
      <c r="E223" s="202"/>
      <c r="F223" s="1055">
        <v>69200</v>
      </c>
      <c r="G223" s="434">
        <v>2000000</v>
      </c>
    </row>
    <row r="224" spans="1:9" ht="20.100000000000001" customHeight="1">
      <c r="A224" s="478" t="s">
        <v>520</v>
      </c>
      <c r="B224" s="176"/>
      <c r="C224" s="176"/>
      <c r="D224" s="176"/>
      <c r="E224" s="176"/>
      <c r="F224" s="180" t="s">
        <v>521</v>
      </c>
      <c r="G224" s="434">
        <v>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1458709</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31439407</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1098126</v>
      </c>
    </row>
    <row r="234" spans="1:7" ht="20.100000000000001" customHeight="1">
      <c r="A234" s="478" t="s">
        <v>531</v>
      </c>
      <c r="B234" s="176"/>
      <c r="C234" s="176"/>
      <c r="D234" s="176"/>
      <c r="E234" s="176"/>
      <c r="F234" s="180" t="s">
        <v>532</v>
      </c>
      <c r="G234" s="434">
        <v>400000</v>
      </c>
    </row>
    <row r="235" spans="1:7" ht="20.100000000000001" customHeight="1">
      <c r="A235" s="478" t="s">
        <v>533</v>
      </c>
      <c r="B235" s="176"/>
      <c r="C235" s="176"/>
      <c r="D235" s="176"/>
      <c r="E235" s="176"/>
      <c r="F235" s="1012"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80000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108649</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1686775</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159072277</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3830000</v>
      </c>
    </row>
    <row r="260" spans="1:12" ht="20.100000000000001" customHeight="1">
      <c r="A260" s="478" t="s">
        <v>556</v>
      </c>
      <c r="B260" s="176"/>
      <c r="C260" s="176"/>
      <c r="D260" s="176"/>
      <c r="E260" s="176"/>
      <c r="F260" s="189">
        <v>31100</v>
      </c>
      <c r="G260" s="581">
        <v>15684613</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19514613</v>
      </c>
    </row>
    <row r="263" spans="1:12" ht="20.100000000000001" customHeight="1">
      <c r="A263" s="479"/>
      <c r="B263" s="176"/>
      <c r="C263" s="176"/>
      <c r="D263" s="176"/>
      <c r="E263" s="176"/>
      <c r="F263" s="189"/>
      <c r="G263" s="205"/>
    </row>
    <row r="264" spans="1:12" ht="20.100000000000001" customHeight="1" thickBot="1">
      <c r="A264" s="490" t="s">
        <v>747</v>
      </c>
      <c r="F264" s="195">
        <v>30800</v>
      </c>
      <c r="G264" s="1159">
        <v>0</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19514613</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3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5:H245 B244:F244 H244"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topLeftCell="A3" zoomScale="80" zoomScaleNormal="80" zoomScalePageLayoutView="80" workbookViewId="0">
      <selection activeCell="I13" sqref="I13"/>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Florida State College at Jacksonville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58123724</v>
      </c>
      <c r="C10" s="436">
        <v>4655197</v>
      </c>
      <c r="D10" s="436">
        <v>498126</v>
      </c>
      <c r="E10" s="359">
        <f>SUM(B10:D10)</f>
        <v>63277047</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21193606</v>
      </c>
      <c r="C14" s="438">
        <v>3093762</v>
      </c>
      <c r="D14" s="438">
        <v>0</v>
      </c>
      <c r="E14" s="360">
        <f t="shared" ref="E14:E20" si="0">SUM(B14:D14)</f>
        <v>24287368</v>
      </c>
      <c r="F14" s="342"/>
    </row>
    <row r="15" spans="1:8" s="11" customFormat="1" ht="20.100000000000001" customHeight="1">
      <c r="A15" s="358" t="s">
        <v>572</v>
      </c>
      <c r="B15" s="437">
        <v>0</v>
      </c>
      <c r="C15" s="430">
        <v>0</v>
      </c>
      <c r="D15" s="430">
        <v>0</v>
      </c>
      <c r="E15" s="360">
        <f>SUM(B15:D15)</f>
        <v>0</v>
      </c>
      <c r="F15" s="342"/>
    </row>
    <row r="16" spans="1:8" s="11" customFormat="1" ht="20.100000000000001" customHeight="1">
      <c r="A16" s="358" t="s">
        <v>573</v>
      </c>
      <c r="B16" s="437">
        <v>17513190</v>
      </c>
      <c r="C16" s="430">
        <v>1404040</v>
      </c>
      <c r="D16" s="430">
        <v>0</v>
      </c>
      <c r="E16" s="360">
        <f t="shared" si="0"/>
        <v>18917230</v>
      </c>
      <c r="F16" s="342"/>
    </row>
    <row r="17" spans="1:6" s="11" customFormat="1" ht="20.100000000000001" customHeight="1">
      <c r="A17" s="358" t="s">
        <v>574</v>
      </c>
      <c r="B17" s="437">
        <v>16915870</v>
      </c>
      <c r="C17" s="430">
        <v>11605568</v>
      </c>
      <c r="D17" s="430">
        <v>950000</v>
      </c>
      <c r="E17" s="360">
        <f t="shared" si="0"/>
        <v>29471438</v>
      </c>
      <c r="F17" s="342"/>
    </row>
    <row r="18" spans="1:6" s="11" customFormat="1" ht="20.100000000000001" customHeight="1">
      <c r="A18" s="358" t="s">
        <v>575</v>
      </c>
      <c r="B18" s="437">
        <v>13755259</v>
      </c>
      <c r="C18" s="430">
        <v>8180840</v>
      </c>
      <c r="D18" s="430">
        <v>130000</v>
      </c>
      <c r="E18" s="360">
        <f t="shared" si="0"/>
        <v>22066099</v>
      </c>
      <c r="F18" s="342"/>
    </row>
    <row r="19" spans="1:6" s="11" customFormat="1" ht="20.100000000000001" customHeight="1">
      <c r="A19" s="358" t="s">
        <v>576</v>
      </c>
      <c r="B19" s="437">
        <v>752394</v>
      </c>
      <c r="C19" s="430">
        <v>100000</v>
      </c>
      <c r="D19" s="430">
        <v>0</v>
      </c>
      <c r="E19" s="360">
        <f t="shared" si="0"/>
        <v>852394</v>
      </c>
      <c r="F19" s="342"/>
    </row>
    <row r="20" spans="1:6" s="11" customFormat="1" ht="20.100000000000001" customHeight="1" thickBot="1">
      <c r="A20" s="358" t="s">
        <v>577</v>
      </c>
      <c r="B20" s="437">
        <v>-2307948</v>
      </c>
      <c r="C20" s="431">
        <v>2400000</v>
      </c>
      <c r="D20" s="431">
        <v>108649</v>
      </c>
      <c r="E20" s="360">
        <f t="shared" si="0"/>
        <v>200701</v>
      </c>
      <c r="F20" s="342"/>
    </row>
    <row r="21" spans="1:6" s="11" customFormat="1" ht="24" customHeight="1" thickBot="1">
      <c r="A21" s="283" t="s">
        <v>47</v>
      </c>
      <c r="B21" s="343">
        <f>SUM(B10:B20)</f>
        <v>125946095</v>
      </c>
      <c r="C21" s="346">
        <f>SUM(C10:C20)</f>
        <v>31439407</v>
      </c>
      <c r="D21" s="346">
        <f>SUM(D10:D20)</f>
        <v>1686775</v>
      </c>
      <c r="E21" s="345">
        <f>SUM(E10:E20)</f>
        <v>159072277</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5" zoomScale="60" zoomScaleNormal="60" zoomScaleSheetLayoutView="50" zoomScalePageLayoutView="60" workbookViewId="0">
      <selection activeCell="H15" sqref="H15"/>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Florida State College at Jacksonville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124536</v>
      </c>
      <c r="E10" s="1144">
        <v>0</v>
      </c>
      <c r="F10" s="1145">
        <f t="shared" ref="F10:F73" si="0">+D10+E10</f>
        <v>124536</v>
      </c>
      <c r="I10" s="82"/>
      <c r="J10" s="23"/>
      <c r="K10" s="87"/>
      <c r="L10" s="87"/>
      <c r="M10" s="87"/>
      <c r="N10" s="87"/>
    </row>
    <row r="11" spans="1:224" s="11" customFormat="1" ht="30" customHeight="1">
      <c r="A11" s="721" t="s">
        <v>389</v>
      </c>
      <c r="B11" s="722"/>
      <c r="C11" s="723" t="s">
        <v>390</v>
      </c>
      <c r="D11" s="724">
        <v>192657</v>
      </c>
      <c r="E11" s="724">
        <v>0</v>
      </c>
      <c r="F11" s="725">
        <f t="shared" si="0"/>
        <v>192657</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1602192</v>
      </c>
      <c r="E15" s="724">
        <v>0</v>
      </c>
      <c r="F15" s="725">
        <f t="shared" si="0"/>
        <v>1602192</v>
      </c>
      <c r="I15" s="82"/>
      <c r="J15" s="23"/>
      <c r="K15" s="87"/>
      <c r="L15" s="87"/>
      <c r="M15" s="87"/>
      <c r="N15" s="87"/>
    </row>
    <row r="16" spans="1:224" s="11" customFormat="1" ht="30" customHeight="1">
      <c r="A16" s="721" t="s">
        <v>399</v>
      </c>
      <c r="B16" s="722"/>
      <c r="C16" s="723" t="s">
        <v>400</v>
      </c>
      <c r="D16" s="724">
        <v>624192</v>
      </c>
      <c r="E16" s="724">
        <v>0</v>
      </c>
      <c r="F16" s="725">
        <f t="shared" si="0"/>
        <v>624192</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94617</v>
      </c>
      <c r="E25" s="724">
        <v>0</v>
      </c>
      <c r="F25" s="725">
        <f t="shared" si="0"/>
        <v>94617</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48437</v>
      </c>
      <c r="E30" s="724">
        <v>0</v>
      </c>
      <c r="F30" s="725">
        <f t="shared" si="0"/>
        <v>48437</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50000</v>
      </c>
      <c r="E33" s="724">
        <v>0</v>
      </c>
      <c r="F33" s="725">
        <f t="shared" si="0"/>
        <v>50000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795763</v>
      </c>
      <c r="E35" s="724">
        <v>0</v>
      </c>
      <c r="F35" s="725">
        <f>+D35+E35</f>
        <v>795763</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220118</v>
      </c>
      <c r="E47" s="724">
        <v>0</v>
      </c>
      <c r="F47" s="725">
        <f t="shared" si="0"/>
        <v>220118</v>
      </c>
    </row>
    <row r="48" spans="1:6" s="11" customFormat="1" ht="30" customHeight="1">
      <c r="A48" s="721" t="s">
        <v>459</v>
      </c>
      <c r="B48" s="722"/>
      <c r="C48" s="723" t="s">
        <v>460</v>
      </c>
      <c r="D48" s="724">
        <v>248244</v>
      </c>
      <c r="E48" s="724">
        <v>0</v>
      </c>
      <c r="F48" s="725">
        <f t="shared" si="0"/>
        <v>248244</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559263</v>
      </c>
      <c r="E53" s="724">
        <v>0</v>
      </c>
      <c r="F53" s="725">
        <f t="shared" si="0"/>
        <v>559263</v>
      </c>
    </row>
    <row r="54" spans="1:6" s="11" customFormat="1" ht="30" customHeight="1">
      <c r="A54" s="721" t="s">
        <v>470</v>
      </c>
      <c r="B54" s="722"/>
      <c r="C54" s="723" t="s">
        <v>471</v>
      </c>
      <c r="D54" s="724">
        <v>60000</v>
      </c>
      <c r="E54" s="724">
        <v>0</v>
      </c>
      <c r="F54" s="725">
        <f t="shared" si="0"/>
        <v>60000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4620019</v>
      </c>
      <c r="E56" s="258">
        <f>SUM(E10:E55)</f>
        <v>0</v>
      </c>
      <c r="F56" s="258">
        <f t="shared" si="0"/>
        <v>4620019</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5274</v>
      </c>
      <c r="E63" s="439">
        <v>0</v>
      </c>
      <c r="F63" s="224">
        <f t="shared" si="0"/>
        <v>5274</v>
      </c>
    </row>
    <row r="64" spans="1:6" s="11" customFormat="1" ht="30" customHeight="1">
      <c r="A64" s="721" t="s">
        <v>478</v>
      </c>
      <c r="B64" s="722"/>
      <c r="C64" s="731" t="s">
        <v>479</v>
      </c>
      <c r="D64" s="724">
        <v>620</v>
      </c>
      <c r="E64" s="724">
        <v>0</v>
      </c>
      <c r="F64" s="725">
        <f t="shared" si="0"/>
        <v>620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1648</v>
      </c>
      <c r="E66" s="724">
        <v>0</v>
      </c>
      <c r="F66" s="725">
        <f t="shared" si="0"/>
        <v>1648</v>
      </c>
    </row>
    <row r="67" spans="1:6" s="11" customFormat="1" ht="30" customHeight="1">
      <c r="A67" s="721" t="s">
        <v>589</v>
      </c>
      <c r="B67" s="722"/>
      <c r="C67" s="731" t="s">
        <v>485</v>
      </c>
      <c r="D67" s="724">
        <v>2837</v>
      </c>
      <c r="E67" s="724">
        <v>0</v>
      </c>
      <c r="F67" s="725">
        <f t="shared" si="0"/>
        <v>2837</v>
      </c>
    </row>
    <row r="68" spans="1:6" s="11" customFormat="1" ht="30" customHeight="1">
      <c r="A68" s="721" t="s">
        <v>486</v>
      </c>
      <c r="B68" s="722"/>
      <c r="C68" s="731" t="s">
        <v>487</v>
      </c>
      <c r="D68" s="724">
        <v>0</v>
      </c>
      <c r="E68" s="724">
        <v>0</v>
      </c>
      <c r="F68" s="725">
        <f t="shared" si="0"/>
        <v>0</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12000</v>
      </c>
      <c r="E71" s="724">
        <v>0</v>
      </c>
      <c r="F71" s="725">
        <f t="shared" si="0"/>
        <v>12000</v>
      </c>
    </row>
    <row r="72" spans="1:6" s="11" customFormat="1" ht="30" customHeight="1">
      <c r="A72" s="721" t="s">
        <v>492</v>
      </c>
      <c r="B72" s="722"/>
      <c r="C72" s="731" t="s">
        <v>493</v>
      </c>
      <c r="D72" s="724">
        <v>10287</v>
      </c>
      <c r="E72" s="724">
        <v>0</v>
      </c>
      <c r="F72" s="725">
        <f t="shared" si="0"/>
        <v>10287</v>
      </c>
    </row>
    <row r="73" spans="1:6" s="11" customFormat="1" ht="30" customHeight="1">
      <c r="A73" s="721" t="s">
        <v>670</v>
      </c>
      <c r="B73" s="722"/>
      <c r="C73" s="731" t="s">
        <v>494</v>
      </c>
      <c r="D73" s="724">
        <v>800</v>
      </c>
      <c r="E73" s="724">
        <v>0</v>
      </c>
      <c r="F73" s="725">
        <f t="shared" si="0"/>
        <v>800</v>
      </c>
    </row>
    <row r="74" spans="1:6" s="11" customFormat="1" ht="30" customHeight="1">
      <c r="A74" s="721" t="s">
        <v>495</v>
      </c>
      <c r="B74" s="722"/>
      <c r="C74" s="731" t="s">
        <v>496</v>
      </c>
      <c r="D74" s="724">
        <v>13419</v>
      </c>
      <c r="E74" s="724">
        <v>0</v>
      </c>
      <c r="F74" s="725">
        <f t="shared" ref="F74:F109" si="1">+D74+E74</f>
        <v>13419</v>
      </c>
    </row>
    <row r="75" spans="1:6" s="11" customFormat="1" ht="30" customHeight="1">
      <c r="A75" s="721" t="s">
        <v>497</v>
      </c>
      <c r="B75" s="722"/>
      <c r="C75" s="731" t="s">
        <v>498</v>
      </c>
      <c r="D75" s="724">
        <v>0</v>
      </c>
      <c r="E75" s="724">
        <v>0</v>
      </c>
      <c r="F75" s="725">
        <f t="shared" si="1"/>
        <v>0</v>
      </c>
    </row>
    <row r="76" spans="1:6" s="11" customFormat="1" ht="30" customHeight="1">
      <c r="A76" s="721" t="s">
        <v>499</v>
      </c>
      <c r="B76" s="722"/>
      <c r="C76" s="731" t="s">
        <v>500</v>
      </c>
      <c r="D76" s="724">
        <v>0</v>
      </c>
      <c r="E76" s="724">
        <v>0</v>
      </c>
      <c r="F76" s="725">
        <f t="shared" si="1"/>
        <v>0</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8942</v>
      </c>
      <c r="E79" s="724">
        <v>0</v>
      </c>
      <c r="F79" s="725">
        <f t="shared" si="1"/>
        <v>8942</v>
      </c>
    </row>
    <row r="80" spans="1:6" s="11" customFormat="1" ht="30" customHeight="1">
      <c r="A80" s="721" t="s">
        <v>507</v>
      </c>
      <c r="B80" s="722"/>
      <c r="C80" s="731" t="s">
        <v>508</v>
      </c>
      <c r="D80" s="724">
        <v>0</v>
      </c>
      <c r="E80" s="724">
        <v>0</v>
      </c>
      <c r="F80" s="725">
        <f t="shared" ref="F80:F85" si="2">+D80+E80</f>
        <v>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28544</v>
      </c>
      <c r="E83" s="724">
        <v>0</v>
      </c>
      <c r="F83" s="725">
        <f t="shared" si="2"/>
        <v>28544</v>
      </c>
    </row>
    <row r="84" spans="1:6" s="11" customFormat="1" ht="30" customHeight="1">
      <c r="A84" s="721" t="s">
        <v>514</v>
      </c>
      <c r="B84" s="722"/>
      <c r="C84" s="731" t="s">
        <v>515</v>
      </c>
      <c r="D84" s="724">
        <v>54687</v>
      </c>
      <c r="E84" s="724">
        <v>0</v>
      </c>
      <c r="F84" s="725">
        <f t="shared" si="2"/>
        <v>54687</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139058</v>
      </c>
      <c r="E92" s="254">
        <f>SUM(E63:E91)</f>
        <v>0</v>
      </c>
      <c r="F92" s="254">
        <f t="shared" si="1"/>
        <v>139058</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5983</v>
      </c>
      <c r="E97" s="439">
        <v>0</v>
      </c>
      <c r="F97" s="224">
        <f t="shared" si="1"/>
        <v>5983</v>
      </c>
    </row>
    <row r="98" spans="1:6" s="11" customFormat="1" ht="30" customHeight="1">
      <c r="A98" s="721" t="s">
        <v>593</v>
      </c>
      <c r="B98" s="722"/>
      <c r="C98" s="731" t="s">
        <v>530</v>
      </c>
      <c r="D98" s="724">
        <v>2050</v>
      </c>
      <c r="E98" s="724">
        <v>0</v>
      </c>
      <c r="F98" s="725">
        <f t="shared" si="1"/>
        <v>2050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120000</v>
      </c>
      <c r="E100" s="724">
        <v>0</v>
      </c>
      <c r="F100" s="725">
        <f t="shared" si="1"/>
        <v>120000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128033</v>
      </c>
      <c r="E110" s="258">
        <f>SUM(E97:E109)</f>
        <v>0</v>
      </c>
      <c r="F110" s="258">
        <f>SUM(D110:E110)</f>
        <v>128033</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4887110</v>
      </c>
      <c r="E112" s="254">
        <f>+E56+E92+E110</f>
        <v>0</v>
      </c>
      <c r="F112" s="254">
        <f>SUM(D112:E112)</f>
        <v>4887110</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4668348</v>
      </c>
      <c r="E117" s="724">
        <v>0</v>
      </c>
      <c r="F117" s="725">
        <f t="shared" ref="F117:F127" si="3">+D117+E117</f>
        <v>4668348</v>
      </c>
    </row>
    <row r="118" spans="1:6" s="63" customFormat="1" ht="30" customHeight="1">
      <c r="A118" s="721" t="s">
        <v>598</v>
      </c>
      <c r="B118" s="574"/>
      <c r="C118" s="733"/>
      <c r="D118" s="1039">
        <f>'EXHIBIT C'!F19</f>
        <v>218762</v>
      </c>
      <c r="E118" s="724">
        <v>0</v>
      </c>
      <c r="F118" s="725">
        <f t="shared" si="3"/>
        <v>218762</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4887110</v>
      </c>
      <c r="E128" s="248">
        <f>SUM(E116:E127)</f>
        <v>0</v>
      </c>
      <c r="F128" s="249">
        <f>SUM(F116:F127)</f>
        <v>4887110</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6A80541-7138-4A3D-B60A-65E3AF572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127</vt:i4>
      </vt:variant>
    </vt:vector>
  </HeadingPairs>
  <TitlesOfParts>
    <vt:vector size="141"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2026-06-24T15:38:42Z</cp:lastPrinted>
  <dcterms:created xsi:type="dcterms:W3CDTF">2005-03-22T15:46:43Z</dcterms:created>
  <dcterms:modified xsi:type="dcterms:W3CDTF">2026-08-04T12:26:04Z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