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Chipola\"/>
    </mc:Choice>
  </mc:AlternateContent>
  <xr:revisionPtr revIDLastSave="0" documentId="13_ncr:1_{AE3311AA-7B2A-4E97-98C3-7AE2DB83AC7B}" xr6:coauthVersionLast="47" xr6:coauthVersionMax="47" xr10:uidLastSave="{00000000-0000-0000-0000-000000000000}"/>
  <workbookProtection workbookAlgorithmName="SHA-512" workbookHashValue="v2dY8WqUpSO+SWAPrJf3JHTDuxqdmLyhjES7+DyUeD1nG1udfPlPaegf7YsBuAPUdWSUTdRHc7J8Z0bmi5SkBg==" workbookSaltValue="1dfp/0i7hboOLIdzK5ZdcQ=="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4">'EXHIBIT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2" i="15" l="1"/>
  <c r="D18" i="8" l="1"/>
  <c r="D17" i="8"/>
  <c r="D10" i="8"/>
  <c r="D53" i="15"/>
  <c r="D34" i="15"/>
  <c r="D15" i="15"/>
  <c r="D12" i="15"/>
  <c r="G206" i="7" l="1"/>
  <c r="G167" i="7"/>
  <c r="G152" i="7"/>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C93" i="3" s="1"/>
  <c r="D21" i="8"/>
  <c r="E59" i="3"/>
  <c r="C95" i="12"/>
  <c r="B31" i="5"/>
  <c r="H31" i="5" s="1"/>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H11" i="6" l="1"/>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<sst xmlns="http://schemas.openxmlformats.org/spreadsheetml/2006/main" count="1322" uniqueCount="797">
  <si>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</si>
  <si>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</si>
  <si>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</si>
  <si>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</si>
  <si>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</si>
  <si>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</si>
  <si>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</si>
  <si>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</si>
  <si>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</si>
  <si>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</si>
  <si>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</si>
  <si>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</si>
  <si>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</si>
  <si>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</si>
  <si>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</si>
  <si>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</si>
  <si>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</si>
  <si>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</si>
  <si>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</si>
  <si>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</si>
  <si>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</si>
  <si>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</si>
  <si>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</si>
  <si>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</si>
  <si>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</si>
  <si>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</si>
  <si>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</si>
  <si>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</si>
  <si>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</si>
  <si>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</si>
  <si>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</si>
  <si>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</si>
  <si>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</si>
  <si>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</si>
  <si>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</si>
  <si>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</si>
  <si>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</si>
  <si>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</si>
  <si>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</si>
  <si>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</si>
  <si>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</si>
  <si>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</si>
  <si>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</si>
  <si>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</si>
  <si>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</si>
  <si>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</si>
  <si>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</si>
  <si>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</si>
  <si>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</si>
  <si>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</si>
  <si>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</si>
  <si>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</si>
  <si>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</si>
  <si>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</si>
  <si>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</si>
  <si>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</si>
  <si>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</si>
  <si>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</si>
  <si>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</si>
  <si>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</si>
  <si>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</si>
  <si>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</si>
  <si>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</si>
  <si>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</si>
  <si>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</si>
  <si>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</si>
  <si>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</si>
  <si>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</si>
  <si>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</si>
  <si>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</si>
  <si>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</si>
  <si>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</si>
  <si>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</si>
  <si>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</si>
  <si>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</si>
  <si>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</si>
  <si>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</si>
  <si>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</si>
  <si>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</si>
  <si>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</si>
  <si>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</si>
  <si>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</si>
  <si>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</si>
  <si>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</si>
  <si>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</si>
  <si>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</si>
  <si>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</si>
  <si>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</si>
  <si>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</si>
  <si>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</si>
  <si>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</si>
  <si>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</si>
  <si>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</si>
  <si>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</si>
  <si>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</si>
  <si>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</si>
  <si>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</si>
  <si>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</si>
  <si>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</si>
  <si>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</si>
  <si>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</si>
  <si>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</si>
  <si>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</si>
  <si>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</si>
  <si>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</si>
  <si>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</si>
  <si>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</si>
  <si>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</si>
  <si>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</si>
  <si>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</si>
  <si>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</si>
  <si>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</si>
  <si>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</si>
  <si>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</si>
  <si>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</si>
  <si>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</si>
  <si>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</si>
  <si>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</si>
  <si>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</si>
  <si>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</si>
  <si>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</si>
  <si>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</si>
  <si>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</si>
  <si>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</si>
  <si>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</si>
  <si>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</si>
  <si>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</si>
  <si>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</si>
  <si>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</si>
  <si>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</si>
  <si>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</si>
  <si>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</si>
  <si>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</si>
  <si>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</si>
  <si>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</si>
  <si>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</si>
  <si>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</si>
  <si>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</si>
  <si>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</si>
  <si>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</si>
  <si>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</si>
  <si>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</si>
  <si>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</si>
  <si>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</si>
  <si>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</si>
  <si>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</si>
  <si>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</si>
  <si>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</si>
  <si>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</si>
  <si>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</si>
  <si>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</si>
  <si>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</si>
  <si>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</si>
  <si>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</si>
  <si>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</si>
  <si>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</si>
  <si>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</si>
  <si>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</si>
  <si>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</si>
  <si>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</si>
  <si>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</si>
  <si>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</si>
  <si>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</si>
  <si>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</si>
  <si>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</si>
  <si>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</si>
  <si>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</si>
  <si>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</si>
  <si>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</si>
  <si>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</si>
  <si>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</si>
  <si>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</si>
  <si>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</si>
  <si>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</si>
  <si>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</si>
  <si>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</si>
  <si>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</si>
  <si>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</si>
  <si>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</si>
  <si>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</si>
  <si>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</si>
  <si>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</si>
  <si>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</si>
  <si>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</si>
  <si>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</si>
  <si>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</si>
  <si>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</si>
  <si>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</si>
  <si>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</si>
  <si>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</si>
  <si>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</si>
  <si>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</si>
  <si>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</si>
  <si>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</si>
  <si>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</si>
  <si>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</si>
  <si>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</si>
  <si>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</si>
  <si>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</si>
  <si>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</si>
  <si>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</si>
  <si>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</si>
  <si>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</si>
  <si>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</si>
  <si>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</si>
  <si>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</si>
  <si>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</si>
  <si>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</si>
  <si>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</si>
  <si>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</si>
  <si>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</si>
  <si>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</si>
  <si>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</si>
  <si>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</si>
  <si>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</si>
  <si>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</si>
  <si>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</si>
  <si>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</si>
  <si>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</si>
  <si>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</si>
  <si>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</si>
  <si>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</si>
  <si>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</si>
  <si>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</si>
  <si>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</si>
  <si>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</si>
  <si>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</si>
  <si>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</si>
  <si>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</si>
  <si>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</si>
  <si>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</si>
  <si>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</si>
  <si>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</si>
  <si>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</si>
  <si>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</si>
  <si>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</si>
  <si>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</si>
  <si>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</si>
  <si>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</si>
  <si>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</si>
  <si>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</si>
  <si>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</si>
  <si>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</si>
  <si>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</si>
  <si>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</si>
  <si>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</si>
  <si>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</si>
  <si>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</si>
  <si>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</si>
  <si>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</si>
  <si>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</si>
  <si>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</si>
  <si>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</si>
  <si>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</si>
  <si>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</si>
  <si>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</si>
  <si>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</si>
  <si>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</si>
  <si>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</si>
  <si>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</si>
  <si>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</si>
  <si>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</si>
  <si>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</si>
  <si>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</si>
  <si>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</si>
  <si>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</si>
  <si>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</si>
  <si>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</si>
  <si>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</si>
  <si>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</si>
  <si>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</si>
  <si>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</si>
  <si>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</si>
  <si>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</si>
  <si>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</si>
  <si>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</si>
  <si>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</si>
  <si>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</si>
  <si>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</si>
  <si>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</si>
  <si>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</si>
  <si>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</si>
  <si>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</si>
  <si>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</si>
  <si>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</si>
  <si>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</si>
  <si>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</si>
  <si>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</si>
  <si>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</si>
  <si>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</si>
  <si>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</si>
  <si>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</si>
  <si>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</si>
  <si>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</si>
  <si>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</si>
  <si>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</si>
  <si>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</si>
  <si>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</si>
  <si>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</si>
  <si>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</si>
  <si>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</si>
  <si>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</si>
  <si>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</si>
  <si>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</si>
  <si>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</si>
  <si>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</si>
  <si>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</si>
  <si>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</si>
  <si>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</si>
  <si>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</si>
  <si>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</si>
  <si>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</si>
  <si>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</si>
  <si>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</si>
  <si>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</si>
  <si>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</si>
  <si>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</si>
  <si>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</si>
  <si>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</si>
  <si>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</si>
  <si>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</si>
  <si>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</si>
  <si>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</si>
  <si>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</si>
  <si>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</si>
  <si>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</si>
  <si>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</si>
  <si>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</si>
  <si>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</si>
  <si>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</si>
  <si>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</si>
  <si>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</si>
  <si>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</si>
  <si>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</si>
  <si>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</si>
  <si>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</si>
  <si>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</si>
  <si>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</si>
  <si>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</si>
  <si>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</si>
  <si>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</si>
  <si>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</si>
  <si>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</si>
  <si>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</si>
  <si>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</si>
  <si>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</si>
  <si>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</si>
  <si>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</si>
  <si>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</si>
  <si>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</si>
  <si>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</si>
  <si>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</si>
  <si>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</si>
  <si>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</si>
  <si>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</si>
  <si>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</si>
  <si>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</si>
  <si>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</si>
  <si>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</si>
  <si>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</si>
  <si>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</si>
  <si>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</si>
  <si>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</si>
  <si>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</si>
  <si>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</si>
  <si>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</si>
  <si>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</si>
  <si>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</si>
  <si>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</si>
  <si>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</si>
  <si>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</si>
  <si>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</si>
  <si>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</si>
  <si>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</si>
  <si>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</si>
  <si>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</si>
  <si>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</si>
  <si>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</si>
  <si>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</si>
  <si>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</si>
  <si>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</si>
  <si>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</si>
  <si>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</si>
  <si>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</si>
  <si>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</si>
  <si>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</si>
  <si>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</si>
  <si>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</si>
  <si>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</si>
  <si>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</si>
  <si>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</si>
  <si>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</si>
  <si>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</si>
  <si>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</si>
  <si>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</si>
  <si>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</si>
  <si>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</si>
  <si>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</si>
  <si>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</si>
  <si>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</si>
  <si>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</si>
  <si>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</si>
  <si>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</si>
  <si>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</si>
  <si>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</si>
  <si>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</si>
  <si>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</si>
  <si>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</si>
  <si>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</si>
  <si>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</si>
  <si>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</si>
  <si>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</si>
  <si>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</si>
  <si>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</si>
  <si>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</si>
  <si>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</si>
  <si>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</si>
  <si>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</si>
  <si>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</si>
  <si>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</si>
  <si>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</si>
  <si>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</si>
  <si>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</si>
  <si>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</si>
  <si>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</si>
  <si>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</si>
  <si>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</si>
  <si>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</si>
  <si>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</si>
  <si>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</si>
  <si>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</si>
  <si>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</si>
  <si>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</si>
  <si>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</si>
  <si>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</si>
  <si>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</si>
  <si>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</si>
  <si>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</si>
  <si>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</si>
  <si>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</si>
  <si>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</si>
  <si>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</si>
  <si>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</si>
  <si>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</si>
  <si>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</si>
  <si>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</si>
  <si>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</si>
  <si>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</si>
  <si>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</si>
  <si>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</si>
  <si>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</si>
  <si>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</si>
  <si>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</si>
  <si>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</si>
  <si>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</si>
  <si>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</si>
  <si>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</si>
  <si>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</si>
  <si>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</si>
  <si>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</si>
  <si>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</si>
  <si>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</si>
  <si>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</si>
  <si>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</si>
  <si>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</si>
  <si>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</si>
  <si>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</si>
  <si>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</si>
  <si>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</si>
  <si>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</si>
  <si>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</si>
  <si>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</si>
  <si>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</si>
  <si>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</si>
  <si>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</si>
  <si>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</si>
  <si>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</si>
  <si>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</si>
  <si>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</si>
  <si>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</si>
  <si>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</si>
  <si>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</si>
  <si>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</si>
  <si>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</si>
  <si>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</si>
  <si>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</si>
  <si>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</si>
  <si>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</si>
  <si>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</si>
  <si>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</si>
  <si>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</si>
  <si>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</si>
  <si>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</si>
  <si>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</si>
  <si>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</si>
  <si>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</si>
  <si>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</si>
  <si>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</si>
  <si>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</si>
  <si>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</si>
  <si>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</si>
  <si>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</si>
  <si>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</si>
  <si>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</si>
  <si>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</si>
  <si>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</si>
  <si>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</si>
  <si>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</si>
  <si>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</si>
  <si>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</si>
  <si>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</si>
  <si>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</si>
  <si>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</si>
  <si>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</si>
  <si>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</si>
  <si>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</si>
  <si>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</si>
  <si>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</si>
  <si>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</si>
  <si>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</si>
  <si>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</si>
  <si>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</si>
  <si>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</si>
  <si>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</si>
  <si>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</si>
  <si>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</si>
  <si>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</si>
  <si>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</si>
  <si>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</si>
  <si>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</si>
  <si>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</si>
  <si>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</si>
  <si>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</si>
  <si>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</si>
  <si>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</si>
  <si>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</si>
  <si>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</si>
  <si>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</si>
  <si>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</si>
  <si>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</si>
  <si>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</si>
  <si>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</si>
  <si>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</si>
  <si>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</si>
  <si>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</si>
  <si>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</si>
  <si>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</si>
  <si>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</si>
  <si>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</si>
  <si>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</si>
  <si>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</si>
  <si>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</si>
  <si>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</si>
  <si>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</si>
  <si>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</si>
  <si>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</si>
  <si>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</si>
  <si>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</si>
  <si>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</si>
  <si>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</si>
  <si>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</si>
  <si>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</si>
  <si>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</si>
  <si>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</si>
  <si>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</si>
  <si>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</si>
  <si>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</si>
  <si>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</si>
  <si>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</si>
  <si>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</si>
  <si>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</si>
  <si>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</si>
  <si>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</si>
  <si>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</si>
  <si>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</si>
  <si>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</si>
  <si>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</si>
  <si>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</si>
  <si>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</si>
  <si>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</si>
  <si>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</si>
  <si>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</si>
  <si>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</si>
  <si>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</si>
  <si>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</si>
  <si>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</si>
  <si>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</si>
  <si>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</si>
  <si>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</si>
  <si>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</si>
  <si>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</si>
  <si>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</si>
  <si>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</si>
  <si>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</si>
  <si>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</si>
  <si>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</si>
  <si>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</si>
  <si>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</si>
  <si>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</si>
  <si>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</si>
  <si>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</si>
  <si>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</si>
  <si>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</si>
  <si>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</si>
  <si>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</si>
  <si>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</si>
  <si>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</si>
  <si>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</si>
  <si>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</si>
  <si>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</si>
  <si>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</si>
  <si>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</si>
  <si>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</si>
  <si>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</si>
  <si>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</si>
  <si>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</si>
  <si>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</si>
  <si>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</si>
  <si>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</si>
  <si>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</si>
  <si>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</si>
  <si>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</si>
  <si>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</si>
  <si>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</si>
  <si>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</si>
  <si>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</si>
  <si>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</si>
  <si>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</si>
  <si>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</si>
  <si>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</si>
  <si>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</si>
  <si>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</si>
  <si>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</si>
  <si>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</si>
  <si>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</si>
  <si>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</si>
  <si>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</si>
  <si>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</si>
  <si>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</si>
  <si>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</si>
  <si>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</si>
  <si>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</si>
  <si>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</si>
  <si>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</si>
  <si>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</si>
  <si>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</si>
  <si>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</si>
  <si>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</si>
  <si>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</si>
  <si>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</si>
  <si>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</si>
  <si>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</si>
  <si>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</si>
  <si>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</si>
  <si>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</si>
  <si>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</si>
  <si>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</si>
  <si>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</si>
  <si>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</si>
  <si>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</si>
  <si>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</si>
  <si>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</si>
  <si>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</si>
  <si>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</si>
  <si>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</si>
  <si>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</si>
  <si>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</si>
  <si>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</si>
  <si>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</si>
  <si>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</si>
  <si>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</si>
  <si>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</si>
  <si>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</si>
  <si>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</si>
  <si>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</si>
  <si>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</si>
  <si>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</si>
  <si>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</si>
  <si>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</si>
  <si>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</si>
  <si>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</si>
  <si>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</si>
  <si>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</si>
  <si>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</si>
  <si>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</si>
  <si>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</si>
  <si>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</si>
  <si>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</si>
  <si>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</si>
  <si>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</si>
  <si>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</si>
  <si>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</si>
  <si>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</si>
  <si>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</si>
  <si>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</si>
  <si>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</si>
  <si>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</si>
  <si>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</si>
  <si>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</si>
  <si>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</si>
  <si>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</si>
  <si>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</si>
  <si>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</si>
  <si>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</si>
  <si>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</si>
  <si>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</si>
  <si>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</si>
  <si>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</si>
  <si>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</si>
  <si>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</si>
  <si>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</si>
  <si>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</si>
  <si>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</si>
  <si>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</si>
  <si>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</si>
  <si>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</si>
  <si>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</si>
  <si>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</si>
  <si>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</si>
  <si>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</si>
  <si>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</si>
  <si>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</si>
  <si>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</si>
  <si>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</si>
  <si>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</si>
  <si>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</si>
  <si>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</si>
  <si>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</si>
  <si>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</si>
  <si>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</si>
  <si>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</si>
  <si>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</si>
  <si>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</si>
  <si>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</si>
  <si>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</si>
  <si>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</si>
  <si>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</si>
  <si>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</si>
  <si>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</si>
  <si>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</si>
  <si>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</si>
  <si>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</si>
  <si>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</si>
  <si>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</si>
  <si>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</si>
  <si>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</si>
  <si>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</si>
  <si>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</si>
  <si>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</si>
  <si>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</si>
  <si>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</si>
  <si>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</si>
  <si>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</si>
  <si>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</si>
  <si>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</si>
  <si>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</si>
  <si>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</si>
  <si>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</si>
  <si>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</si>
  <si>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</si>
  <si>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</si>
  <si>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</si>
  <si>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</si>
  <si>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</si>
  <si>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</si>
  <si>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</si>
  <si>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</si>
  <si>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</si>
  <si>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</si>
  <si>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</si>
  <si>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</si>
  <si>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</si>
  <si>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</si>
  <si>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</si>
  <si>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</si>
  <si>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</si>
  <si>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</si>
  <si>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</si>
  <si>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</si>
  <si>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</si>
  <si>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</si>
  <si>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</si>
  <si>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</si>
  <si>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</si>
  <si>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</si>
  <si>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</si>
  <si>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</si>
  <si>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</si>
  <si>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</si>
  <si>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</si>
  <si>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</si>
  <si>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Public Relations/Hospitality</t>
  </si>
  <si>
    <t>Auxilary (3)</t>
  </si>
  <si>
    <t>Unresticted Current (1)</t>
  </si>
  <si>
    <t>Unrestricted Current (1)</t>
  </si>
  <si>
    <t>Scholarship (5)</t>
  </si>
  <si>
    <t>As part of the 2026-2027 Operating Budget, the Trustees approved some estimated out-of-state fee collections outside the 5% corridor calculated by the Division; however, we believe our estimates to be reasonable.  Because some of our students are granted 56 FTE exemptions the hours they complete seem to be counted in the Divisions estimate; however, fees associated with these waivers are not collected, as allowed by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</si>
</sst>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7">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xf numFmtId="4" fontId="154" fillId="32" borderId="310" xfId="0" applyNumberFormat="1" applyFont="1" applyFill="1" applyBorder="1" applyProtection="1">
      <protection locked="0"/>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election activeCell="E16" sqref="E16"/>
    </sheetView>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election activeCell="E16" sqref="E16"/>
    </sheetView>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19" colorId="22" zoomScale="70" zoomScaleNormal="70" zoomScaleSheetLayoutView="51" zoomScalePageLayoutView="60" workbookViewId="0">
      <selection activeCell="E16" sqref="E16"/>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23</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0.264979209532343</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4140</v>
      </c>
      <c r="E44" s="108">
        <f>+'EXHIBIT C'!F10</f>
        <v>4053</v>
      </c>
      <c r="F44" s="109">
        <f t="shared" ref="F44:F50" si="0">IF(D44=0,"0",(E44/D44-1))</f>
        <v>-2.1014492753623215E-2</v>
      </c>
      <c r="G44" s="110" t="str">
        <f t="shared" ref="G44:G50" si="1">IF(OR(F44&gt;3%, F44&lt;-3%),"YES","NO")</f>
        <v>NO</v>
      </c>
      <c r="H44" s="82"/>
    </row>
    <row r="45" spans="1:8" ht="20.100000000000001" customHeight="1">
      <c r="C45" s="111" t="s">
        <v>123</v>
      </c>
      <c r="D45" s="620">
        <f>VLOOKUP($D$7,VLOOKUP!$A$116:$S$144,5)*30+D60</f>
        <v>18958.75122428991</v>
      </c>
      <c r="E45" s="112">
        <f>+'EXHIBIT C'!F11</f>
        <v>18485</v>
      </c>
      <c r="F45" s="621">
        <f t="shared" si="0"/>
        <v>-2.4988524754886887E-2</v>
      </c>
      <c r="G45" s="622" t="str">
        <f t="shared" si="1"/>
        <v>NO</v>
      </c>
      <c r="H45" s="82"/>
    </row>
    <row r="46" spans="1:8" ht="20.100000000000001" customHeight="1">
      <c r="C46" s="623" t="s">
        <v>124</v>
      </c>
      <c r="D46" s="624">
        <f>VLOOKUP($D$7,VLOOKUP!$A$116:$S$144,8)*30</f>
        <v>5298.3606557377052</v>
      </c>
      <c r="E46" s="625">
        <f>+'EXHIBIT C'!F12</f>
        <v>5430</v>
      </c>
      <c r="F46" s="621">
        <f t="shared" si="0"/>
        <v>2.484529702970284E-2</v>
      </c>
      <c r="G46" s="622" t="str">
        <f t="shared" si="1"/>
        <v>NO</v>
      </c>
      <c r="H46" s="82"/>
    </row>
    <row r="47" spans="1:8" ht="20.100000000000001" customHeight="1">
      <c r="C47" s="623" t="s">
        <v>74</v>
      </c>
      <c r="D47" s="624">
        <f>VLOOKUP($D$7,VLOOKUP!$A$116:$S$144,17)*30</f>
        <v>7121.9294494922497</v>
      </c>
      <c r="E47" s="625">
        <f>+'EXHIBIT C'!F13</f>
        <v>7321</v>
      </c>
      <c r="F47" s="621">
        <f t="shared" si="0"/>
        <v>2.7951772327924784E-2</v>
      </c>
      <c r="G47" s="622" t="str">
        <f t="shared" si="1"/>
        <v>NO</v>
      </c>
      <c r="H47" s="82"/>
    </row>
    <row r="48" spans="1:8" ht="20.100000000000001" customHeight="1">
      <c r="C48" s="623" t="s">
        <v>125</v>
      </c>
      <c r="D48" s="624">
        <f>VLOOKUP($D$7,VLOOKUP!$A$116:$S$144,11)*30</f>
        <v>83.333333333333343</v>
      </c>
      <c r="E48" s="625">
        <f>+'EXHIBIT C'!F14</f>
        <v>85</v>
      </c>
      <c r="F48" s="621">
        <f t="shared" si="0"/>
        <v>1.9999999999999796E-2</v>
      </c>
      <c r="G48" s="622" t="str">
        <f t="shared" si="1"/>
        <v>NO</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35602.374662853203</v>
      </c>
      <c r="E50" s="115">
        <f>+'EXHIBIT C'!F17</f>
        <v>35374</v>
      </c>
      <c r="F50" s="116">
        <f t="shared" si="0"/>
        <v>-6.4145907405295244E-3</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1386.2732615083253</v>
      </c>
      <c r="E60" s="125">
        <f>+'EXHIBIT C'!D20</f>
        <v>135</v>
      </c>
      <c r="F60" s="632">
        <f t="shared" si="2"/>
        <v>-0.90261660254983633</v>
      </c>
      <c r="G60" s="633" t="str">
        <f t="shared" ref="G60:G65" si="3">IF(OR(F60&gt;5%, F60&lt;-5%),"YES","NO")</f>
        <v>YES</v>
      </c>
      <c r="H60" s="82"/>
    </row>
    <row r="61" spans="3:8" ht="20.100000000000001" customHeight="1">
      <c r="C61" s="623" t="s">
        <v>124</v>
      </c>
      <c r="D61" s="634">
        <f>VLOOKUP($D$7,VLOOKUP!$A$116:$S$144,9)*30</f>
        <v>163.9344262295082</v>
      </c>
      <c r="E61" s="635">
        <f>+'EXHIBIT C'!D21</f>
        <v>13</v>
      </c>
      <c r="F61" s="632">
        <f t="shared" si="2"/>
        <v>-0.92069999999999996</v>
      </c>
      <c r="G61" s="633" t="str">
        <f t="shared" si="3"/>
        <v>YES</v>
      </c>
      <c r="H61" s="82"/>
    </row>
    <row r="62" spans="3:8" ht="20.100000000000001" customHeight="1">
      <c r="C62" s="623" t="s">
        <v>74</v>
      </c>
      <c r="D62" s="634">
        <f>VLOOKUP($D$7,VLOOKUP!$A$116:$S$144,18)*30</f>
        <v>52.528059861036887</v>
      </c>
      <c r="E62" s="635">
        <f>+'EXHIBIT C'!D22</f>
        <v>52</v>
      </c>
      <c r="F62" s="632">
        <f t="shared" si="2"/>
        <v>-1.0052910052910202E-2</v>
      </c>
      <c r="G62" s="633" t="str">
        <f t="shared" si="3"/>
        <v>NO</v>
      </c>
      <c r="H62" s="82"/>
    </row>
    <row r="63" spans="3:8" ht="20.100000000000001" customHeight="1">
      <c r="C63" s="623" t="s">
        <v>125</v>
      </c>
      <c r="D63" s="634">
        <f>VLOOKUP($D$7,VLOOKUP!$A$116:$S$144,12)*30</f>
        <v>96.666666666666657</v>
      </c>
      <c r="E63" s="635">
        <f>+'EXHIBIT C'!D23</f>
        <v>18</v>
      </c>
      <c r="F63" s="632">
        <f t="shared" si="2"/>
        <v>-0.81379310344827582</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1699.4024142655371</v>
      </c>
      <c r="E65" s="127">
        <f>SUM(E59:E64)</f>
        <v>218</v>
      </c>
      <c r="F65" s="128">
        <f t="shared" si="2"/>
        <v>-0.87171961262970354</v>
      </c>
      <c r="G65" s="129" t="str">
        <f t="shared" si="3"/>
        <v>YES</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t="s">
        <v>796</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13538708</v>
      </c>
      <c r="E84" s="1086">
        <f>+'EXHIBIT D'!G77</f>
        <v>13538708</v>
      </c>
      <c r="F84" s="1086">
        <f>D84-E84</f>
        <v>0</v>
      </c>
      <c r="G84" s="82"/>
      <c r="H84" s="82"/>
    </row>
    <row r="85" spans="1:8" ht="20.100000000000001" customHeight="1">
      <c r="A85" s="92"/>
      <c r="B85" s="92"/>
      <c r="C85" s="642" t="s">
        <v>147</v>
      </c>
      <c r="D85" s="641">
        <f>VLOOKUP($D$7,VLOOKUP!$A$157:$B$185,2)</f>
        <v>222020</v>
      </c>
      <c r="E85" s="1086">
        <f>'EXHIBIT D'!G79</f>
        <v>222020</v>
      </c>
      <c r="F85" s="1086">
        <f>D85-E85</f>
        <v>0</v>
      </c>
      <c r="G85" s="82"/>
      <c r="H85" s="82"/>
    </row>
    <row r="86" spans="1:8" ht="20.100000000000001" customHeight="1">
      <c r="A86" s="92"/>
      <c r="B86" s="92"/>
      <c r="C86" s="642" t="s">
        <v>148</v>
      </c>
      <c r="D86" s="641">
        <f>VLOOKUP($D$7,VLOOKUP!$A$7:$E$35,3)</f>
        <v>2823123</v>
      </c>
      <c r="E86" s="1086">
        <f>'EXHIBIT D'!G82</f>
        <v>2823123</v>
      </c>
      <c r="F86" s="1086">
        <f>D86-E86</f>
        <v>0</v>
      </c>
      <c r="G86" s="82"/>
      <c r="H86" s="82"/>
    </row>
    <row r="87" spans="1:8" ht="20.100000000000001" customHeight="1" thickBot="1">
      <c r="A87" s="91"/>
      <c r="B87" s="91"/>
      <c r="C87" s="137" t="s">
        <v>679</v>
      </c>
      <c r="D87" s="641">
        <f>VLOOKUP($D$7,VLOOKUP!$A$192:$B$220,2)</f>
        <v>654808</v>
      </c>
      <c r="E87" s="1087">
        <f>'EXHIBIT D'!G78</f>
        <v>654808</v>
      </c>
      <c r="F87" s="1086">
        <f>D87-E87</f>
        <v>0</v>
      </c>
      <c r="G87" s="82"/>
      <c r="H87" s="82"/>
    </row>
    <row r="88" spans="1:8" ht="20.100000000000001" customHeight="1" thickBot="1">
      <c r="A88" s="91"/>
      <c r="B88" s="91"/>
      <c r="C88" s="138" t="s">
        <v>149</v>
      </c>
      <c r="D88" s="139">
        <f>SUM(D84:D87)</f>
        <v>17238659</v>
      </c>
      <c r="E88" s="139">
        <f>SUM(E84:E87)</f>
        <v>17238659</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7859025</v>
      </c>
      <c r="D101" s="786" t="s">
        <v>727</v>
      </c>
      <c r="E101" s="786"/>
      <c r="F101" s="786"/>
      <c r="G101" s="82"/>
      <c r="H101" s="82"/>
    </row>
    <row r="102" spans="1:8" ht="20.100000000000001" customHeight="1">
      <c r="A102" s="89"/>
      <c r="B102" s="89"/>
      <c r="C102" s="644">
        <f>'EXHIBIT D'!G266-'EXHIBIT D'!G252-'EXHIBIT D'!G264</f>
        <v>7859025</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10573721</v>
      </c>
      <c r="D108" s="11" t="s">
        <v>729</v>
      </c>
    </row>
    <row r="109" spans="1:8" ht="26.25" customHeight="1">
      <c r="A109" s="145"/>
      <c r="B109" s="145"/>
      <c r="C109" s="646">
        <f>'EXHIBIT A'!E36</f>
        <v>10573721</v>
      </c>
      <c r="D109" s="11" t="s">
        <v>730</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91.790032075006167</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Chipola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v>-2714696</v>
      </c>
    </row>
    <row r="14" spans="2:7" ht="25.35" customHeight="1">
      <c r="B14" s="11" t="s">
        <v>171</v>
      </c>
      <c r="D14" s="22"/>
      <c r="E14" s="1157">
        <v>10573721</v>
      </c>
    </row>
    <row r="15" spans="2:7" ht="25.35" customHeight="1">
      <c r="B15" s="22"/>
      <c r="D15" s="22"/>
      <c r="E15" s="156"/>
    </row>
    <row r="16" spans="2:7" ht="25.35" customHeight="1">
      <c r="B16" s="11" t="s">
        <v>735</v>
      </c>
      <c r="C16" s="22"/>
      <c r="D16" s="22"/>
      <c r="E16" s="555">
        <f>+E14+E13</f>
        <v>7859025</v>
      </c>
    </row>
    <row r="17" spans="2:7" ht="25.35" customHeight="1">
      <c r="B17" s="22"/>
      <c r="C17" s="22"/>
      <c r="D17" s="22"/>
      <c r="E17" s="157"/>
    </row>
    <row r="18" spans="2:7" ht="25.35" customHeight="1">
      <c r="B18" s="11" t="s">
        <v>172</v>
      </c>
      <c r="C18" s="22"/>
      <c r="D18" s="22"/>
      <c r="E18" s="167">
        <f>+'EXHIBIT D'!G143-SUM(+'EXHIBIT D'!G133+'EXHIBIT D'!G134)</f>
        <v>21730000</v>
      </c>
      <c r="G18" s="132"/>
    </row>
    <row r="19" spans="2:7" ht="25.35" customHeight="1">
      <c r="B19" s="11" t="s">
        <v>173</v>
      </c>
      <c r="D19" s="22"/>
      <c r="E19" s="555">
        <f>+'EXHIBIT D'!G133+'EXHIBIT D'!G134</f>
        <v>70000</v>
      </c>
    </row>
    <row r="20" spans="2:7" ht="25.35" customHeight="1">
      <c r="B20" s="22"/>
      <c r="D20" s="22"/>
      <c r="E20" s="162"/>
    </row>
    <row r="21" spans="2:7" ht="25.35" customHeight="1">
      <c r="B21" s="11" t="s">
        <v>174</v>
      </c>
      <c r="C21" s="22"/>
      <c r="D21" s="22"/>
      <c r="E21" s="556">
        <f>+E19+E18</f>
        <v>21800000</v>
      </c>
    </row>
    <row r="22" spans="2:7" ht="25.35" customHeight="1">
      <c r="B22" s="22"/>
      <c r="C22" s="22"/>
      <c r="D22" s="22"/>
      <c r="E22" s="162"/>
    </row>
    <row r="23" spans="2:7" ht="25.35" customHeight="1">
      <c r="B23" s="22" t="s">
        <v>175</v>
      </c>
      <c r="C23" s="22"/>
      <c r="D23" s="22"/>
      <c r="E23" s="556">
        <f>+E21+E16</f>
        <v>29659025</v>
      </c>
    </row>
    <row r="24" spans="2:7" ht="25.35" customHeight="1">
      <c r="B24" s="22"/>
      <c r="C24" s="22"/>
      <c r="D24" s="22"/>
      <c r="E24" s="162"/>
    </row>
    <row r="25" spans="2:7" ht="25.35" customHeight="1">
      <c r="B25" s="11" t="s">
        <v>176</v>
      </c>
      <c r="C25" s="22"/>
      <c r="D25" s="22"/>
      <c r="E25" s="168">
        <f>'EXHIBIT D'!G248-SUM(+'EXHIBIT D'!G222+'EXHIBIT D'!G223)</f>
        <v>21500000</v>
      </c>
    </row>
    <row r="26" spans="2:7" ht="25.35" customHeight="1">
      <c r="B26" s="11" t="s">
        <v>177</v>
      </c>
      <c r="D26" s="22"/>
      <c r="E26" s="555">
        <f>'EXHIBIT D'!G222+'EXHIBIT D'!G223</f>
        <v>300000</v>
      </c>
    </row>
    <row r="27" spans="2:7" ht="25.35" customHeight="1">
      <c r="B27" s="22"/>
      <c r="D27" s="22"/>
      <c r="E27" s="162"/>
    </row>
    <row r="28" spans="2:7" ht="25.35" customHeight="1">
      <c r="B28" s="22" t="s">
        <v>178</v>
      </c>
      <c r="C28" s="22"/>
      <c r="D28" s="22"/>
      <c r="E28" s="557">
        <f>+E26+E25</f>
        <v>21800000</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7859025</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737</v>
      </c>
      <c r="C35" s="22"/>
      <c r="D35" s="22"/>
      <c r="E35" s="161">
        <f>+D32+D33</f>
        <v>7859025</v>
      </c>
    </row>
    <row r="36" spans="2:10" ht="25.35" customHeight="1">
      <c r="B36" s="11" t="s">
        <v>738</v>
      </c>
      <c r="C36" s="22"/>
      <c r="D36" s="22"/>
      <c r="E36" s="556">
        <f>-'EXHIBIT D'!G264</f>
        <v>10573721</v>
      </c>
      <c r="J36" s="42"/>
    </row>
    <row r="37" spans="2:10" ht="25.35" customHeight="1">
      <c r="D37" s="22"/>
      <c r="E37" s="161"/>
    </row>
    <row r="38" spans="2:10" ht="25.35" customHeight="1">
      <c r="B38" s="22" t="s">
        <v>739</v>
      </c>
      <c r="D38" s="22"/>
      <c r="E38" s="555">
        <f>+E35-E36</f>
        <v>-2714696</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7859025</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0.264979209532343</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s="11" customFormat="1" ht="15.75" customHeight="1"/>
    <row r="66" s="11" customFormat="1" ht="15.75" customHeight="1"/>
    <row r="67" s="11" customFormat="1" ht="15.75" customHeight="1"/>
    <row r="68" s="11" customFormat="1" ht="15.75" customHeight="1"/>
    <row r="69" s="11" customFormat="1" ht="15.75" customHeight="1"/>
    <row r="70" s="11" customFormat="1" ht="15.75" customHeight="1"/>
    <row r="71" s="11" customFormat="1" ht="15.75" customHeight="1"/>
    <row r="72" s="11" customFormat="1" ht="15.75" customHeight="1"/>
    <row r="73" s="11" customFormat="1" ht="15.75" customHeight="1"/>
    <row r="74" s="11" customFormat="1" ht="15.75" customHeight="1"/>
    <row r="75" s="11" customFormat="1" ht="15.75" customHeight="1"/>
    <row r="76" s="11" customFormat="1" ht="15.75" customHeight="1"/>
    <row r="77" s="11" customFormat="1" ht="15.75" customHeight="1"/>
    <row r="78" s="11" customFormat="1" ht="15.75" customHeight="1"/>
    <row r="79" s="11" customFormat="1" ht="15.75" customHeight="1"/>
    <row r="80" s="11" customFormat="1" ht="15.75" customHeight="1"/>
    <row r="81" s="11" customFormat="1" ht="15.75" customHeight="1"/>
    <row r="82" s="11" customFormat="1" ht="15.75" customHeight="1"/>
    <row r="83" s="11" customFormat="1" ht="15.75" customHeight="1"/>
    <row r="84" s="11" customFormat="1" ht="15.75" customHeight="1"/>
    <row r="85" s="11" customFormat="1" ht="15.75" customHeight="1"/>
    <row r="86" s="11" customFormat="1" ht="18" customHeight="1"/>
    <row r="87" s="11" customFormat="1" ht="18" customHeight="1"/>
    <row r="88" s="11" customFormat="1" ht="18" customHeight="1"/>
    <row r="89" s="11" customFormat="1" ht="18" customHeight="1"/>
    <row r="90" s="11" customFormat="1" ht="18" customHeight="1"/>
    <row r="91" s="11" customFormat="1" ht="18" customHeight="1"/>
  </sheetData>
  <sheetProtection algorithmName="SHA-512" hashValue="+ES+vK0cTVGmIb4Nq3XN+yF5C5vqM9AP95lr0DTxlfgck3OE9CzNDH8Xb7g797VInTkAdIeMyHYDt8iQLKOI6Q==" saltValue="23aA0govDjC0RlVcYT8+N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zoomScale="50" zoomScaleNormal="50" zoomScalePageLayoutView="50" workbookViewId="0"/>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Chipola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1176">
        <v>91.79</v>
      </c>
      <c r="C14" s="1176">
        <v>5.5</v>
      </c>
      <c r="D14" s="1176">
        <v>6</v>
      </c>
      <c r="E14" s="1176">
        <v>8</v>
      </c>
      <c r="F14" s="1176">
        <v>3.71</v>
      </c>
      <c r="G14" s="649">
        <f>SUM(B14:F14)</f>
        <v>115</v>
      </c>
      <c r="H14" s="355">
        <f>G14*30</f>
        <v>3450</v>
      </c>
    </row>
    <row r="15" spans="1:18" s="11" customFormat="1" ht="20.100000000000001" customHeight="1">
      <c r="A15" s="22" t="s">
        <v>198</v>
      </c>
      <c r="B15" s="929">
        <v>78.84</v>
      </c>
      <c r="C15" s="929">
        <v>5.5</v>
      </c>
      <c r="D15" s="929">
        <v>6</v>
      </c>
      <c r="E15" s="929">
        <v>8</v>
      </c>
      <c r="F15" s="929">
        <v>3.66</v>
      </c>
      <c r="G15" s="649">
        <f>SUM(B15:F15)</f>
        <v>102</v>
      </c>
      <c r="H15" s="328">
        <f>G15*30</f>
        <v>3060</v>
      </c>
    </row>
    <row r="16" spans="1:18" s="11" customFormat="1" ht="20.100000000000001" customHeight="1" thickBot="1">
      <c r="A16" s="22" t="s">
        <v>74</v>
      </c>
      <c r="B16" s="930">
        <v>69.900000000000006</v>
      </c>
      <c r="C16" s="930">
        <v>3.3</v>
      </c>
      <c r="D16" s="931"/>
      <c r="E16" s="930">
        <v>1.5</v>
      </c>
      <c r="F16" s="930">
        <v>1.8</v>
      </c>
      <c r="G16" s="329">
        <f>SUM(B16:F16)</f>
        <v>76.5</v>
      </c>
      <c r="H16" s="650">
        <f>G16*30</f>
        <v>2295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1176">
        <v>194.35</v>
      </c>
      <c r="D29" s="1176">
        <v>5.5</v>
      </c>
      <c r="E29" s="515">
        <f>D14</f>
        <v>6</v>
      </c>
      <c r="F29" s="928">
        <v>8</v>
      </c>
      <c r="G29" s="928">
        <v>3.71</v>
      </c>
      <c r="H29" s="336">
        <f>SUM(B29:G29)</f>
        <v>309.34999999999997</v>
      </c>
      <c r="I29" s="349">
        <f>H29*30</f>
        <v>9280.4999999999982</v>
      </c>
    </row>
    <row r="30" spans="1:11" s="11" customFormat="1" ht="20.100000000000001" customHeight="1">
      <c r="A30" s="22" t="str">
        <f t="shared" si="0"/>
        <v>LOWER LEVEL - CREDIT (A &amp; P, PSV, DEVELOPMENTAL EDUCATION AND EPI)</v>
      </c>
      <c r="B30" s="653">
        <f t="shared" si="0"/>
        <v>78.84</v>
      </c>
      <c r="C30" s="932">
        <v>194.35</v>
      </c>
      <c r="D30" s="932">
        <v>5.5</v>
      </c>
      <c r="E30" s="654">
        <f>D15</f>
        <v>6</v>
      </c>
      <c r="F30" s="932">
        <v>8</v>
      </c>
      <c r="G30" s="932">
        <v>3.66</v>
      </c>
      <c r="H30" s="649">
        <f>SUM(B30:G30)</f>
        <v>296.35000000000002</v>
      </c>
      <c r="I30" s="328">
        <f>H30*30</f>
        <v>8890.5</v>
      </c>
    </row>
    <row r="31" spans="1:11" s="11" customFormat="1" ht="20.100000000000001" customHeight="1">
      <c r="A31" s="22" t="str">
        <f t="shared" si="0"/>
        <v>CAREER CERTIFICATE AND APPLIED TECHNOLOGY DIPLOMA</v>
      </c>
      <c r="B31" s="1106">
        <f t="shared" si="0"/>
        <v>69.900000000000006</v>
      </c>
      <c r="C31" s="929">
        <v>199.8</v>
      </c>
      <c r="D31" s="929">
        <v>3.3</v>
      </c>
      <c r="E31" s="1107"/>
      <c r="F31" s="929">
        <v>1.5</v>
      </c>
      <c r="G31" s="929">
        <v>1.8</v>
      </c>
      <c r="H31" s="1108">
        <f>SUM(B31:G31)</f>
        <v>276.30000000000007</v>
      </c>
      <c r="I31" s="1108">
        <f>H31*30</f>
        <v>8289.0000000000018</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s="172" customFormat="1" ht="20.25" customHeight="1"/>
    <row r="66" s="172" customFormat="1" ht="20.25" customHeight="1"/>
    <row r="67" s="172" customFormat="1" ht="20.25" customHeight="1"/>
    <row r="68" s="172" customFormat="1" ht="20.25" customHeight="1"/>
    <row r="69" s="172" customFormat="1" ht="20.25" customHeight="1"/>
    <row r="70" s="172" customFormat="1" ht="20.25" customHeight="1"/>
    <row r="71" s="172" customFormat="1" ht="20.25" customHeight="1"/>
    <row r="72" s="172" customFormat="1" ht="20.25" customHeight="1"/>
    <row r="73" s="172" customFormat="1" ht="20.25" customHeight="1"/>
    <row r="74" s="172" customFormat="1" ht="20.25" customHeight="1"/>
    <row r="75" s="172" customFormat="1" ht="20.25" customHeight="1"/>
    <row r="76" s="172" customFormat="1" ht="20.25" customHeight="1"/>
    <row r="77" s="172" customFormat="1" ht="20.25" customHeight="1"/>
    <row r="78" s="172" customFormat="1" ht="20.25" customHeight="1"/>
    <row r="79" s="172" customFormat="1" ht="20.25" customHeight="1"/>
    <row r="80" s="172" customFormat="1" ht="20.25" customHeight="1"/>
    <row r="81" s="172" customFormat="1" ht="20.25" customHeight="1"/>
    <row r="82" s="172" customFormat="1" ht="20.25" customHeight="1"/>
    <row r="83" s="172" customFormat="1" ht="20.25" customHeight="1"/>
    <row r="84" s="172" customFormat="1" ht="20.25" customHeight="1"/>
    <row r="85" s="172" customFormat="1" ht="20.25" customHeight="1"/>
    <row r="86" s="172" customFormat="1" ht="20.25" customHeight="1"/>
    <row r="87" s="172" customFormat="1" ht="20.25" customHeight="1"/>
    <row r="88" s="172" customFormat="1"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zoomScale="70" zoomScaleNormal="70" zoomScaleSheetLayoutView="50" zoomScalePageLayoutView="50" workbookViewId="0">
      <selection activeCell="A2" sqref="A2"/>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Chipola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4053</v>
      </c>
      <c r="E10" s="518">
        <v>0</v>
      </c>
      <c r="F10" s="519">
        <f t="shared" ref="F10:F15" si="0">+D10-E10</f>
        <v>4053</v>
      </c>
      <c r="G10" s="519">
        <f>'EXHIBIT B'!B14</f>
        <v>91.79</v>
      </c>
      <c r="H10" s="1156">
        <f>ROUND(+F10*G10,0)</f>
        <v>372025</v>
      </c>
    </row>
    <row r="11" spans="1:9" ht="20.100000000000001" customHeight="1">
      <c r="A11" s="660" t="s">
        <v>191</v>
      </c>
      <c r="B11" s="660" t="s">
        <v>123</v>
      </c>
      <c r="C11" s="661" t="s">
        <v>218</v>
      </c>
      <c r="D11" s="659">
        <v>18485</v>
      </c>
      <c r="E11" s="659">
        <v>0</v>
      </c>
      <c r="F11" s="662">
        <f t="shared" si="0"/>
        <v>18485</v>
      </c>
      <c r="G11" s="662">
        <f>+'EXHIBIT B'!B15</f>
        <v>78.84</v>
      </c>
      <c r="H11" s="663">
        <f t="shared" ref="H11:H15" si="1">ROUND(+F11*G11,0)</f>
        <v>1457357</v>
      </c>
    </row>
    <row r="12" spans="1:9" ht="20.100000000000001" customHeight="1">
      <c r="A12" s="660" t="s">
        <v>191</v>
      </c>
      <c r="B12" s="660" t="s">
        <v>124</v>
      </c>
      <c r="C12" s="661" t="s">
        <v>219</v>
      </c>
      <c r="D12" s="659">
        <v>5430</v>
      </c>
      <c r="E12" s="659">
        <v>0</v>
      </c>
      <c r="F12" s="662">
        <f t="shared" si="0"/>
        <v>5430</v>
      </c>
      <c r="G12" s="662">
        <f>+'EXHIBIT B'!B15</f>
        <v>78.84</v>
      </c>
      <c r="H12" s="663">
        <f t="shared" si="1"/>
        <v>428101</v>
      </c>
    </row>
    <row r="13" spans="1:9" ht="20.100000000000001" customHeight="1">
      <c r="A13" s="660" t="s">
        <v>191</v>
      </c>
      <c r="B13" s="660" t="s">
        <v>74</v>
      </c>
      <c r="C13" s="661" t="s">
        <v>220</v>
      </c>
      <c r="D13" s="664">
        <v>7321</v>
      </c>
      <c r="E13" s="664">
        <v>0</v>
      </c>
      <c r="F13" s="662">
        <f t="shared" si="0"/>
        <v>7321</v>
      </c>
      <c r="G13" s="662">
        <f>+'EXHIBIT B'!B16</f>
        <v>69.900000000000006</v>
      </c>
      <c r="H13" s="663">
        <f t="shared" si="1"/>
        <v>511738</v>
      </c>
    </row>
    <row r="14" spans="1:9" ht="20.100000000000001" customHeight="1">
      <c r="A14" s="660" t="s">
        <v>191</v>
      </c>
      <c r="B14" s="660" t="s">
        <v>125</v>
      </c>
      <c r="C14" s="661" t="s">
        <v>221</v>
      </c>
      <c r="D14" s="659">
        <v>85</v>
      </c>
      <c r="E14" s="659">
        <v>0</v>
      </c>
      <c r="F14" s="662">
        <f t="shared" si="0"/>
        <v>85</v>
      </c>
      <c r="G14" s="662">
        <f>+'EXHIBIT B'!B15</f>
        <v>78.84</v>
      </c>
      <c r="H14" s="663">
        <f t="shared" si="1"/>
        <v>6701</v>
      </c>
    </row>
    <row r="15" spans="1:9" ht="20.100000000000001" customHeight="1" thickBot="1">
      <c r="A15" s="665" t="s">
        <v>191</v>
      </c>
      <c r="B15" s="665" t="s">
        <v>126</v>
      </c>
      <c r="C15" s="666">
        <v>40160</v>
      </c>
      <c r="D15" s="667">
        <v>0</v>
      </c>
      <c r="E15" s="667">
        <v>0</v>
      </c>
      <c r="F15" s="668">
        <f t="shared" si="0"/>
        <v>0</v>
      </c>
      <c r="G15" s="668">
        <f>+'EXHIBIT B'!B15</f>
        <v>78.84</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35374</v>
      </c>
      <c r="E17" s="292">
        <f>SUM(E10:E15)</f>
        <v>0</v>
      </c>
      <c r="F17" s="293">
        <f>SUM(F10:F15)</f>
        <v>35374</v>
      </c>
      <c r="G17" s="293"/>
      <c r="H17" s="294">
        <f>SUM(H10:H15)</f>
        <v>2775922</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194.35</v>
      </c>
      <c r="F19" s="1155">
        <f t="shared" ref="F19:F25" si="2">ROUND(+D19*E19,0)</f>
        <v>0</v>
      </c>
      <c r="G19" s="296"/>
      <c r="H19" s="296"/>
    </row>
    <row r="20" spans="1:9" ht="20.100000000000001" customHeight="1">
      <c r="A20" s="611" t="s">
        <v>206</v>
      </c>
      <c r="B20" s="611" t="s">
        <v>123</v>
      </c>
      <c r="C20" s="672" t="s">
        <v>225</v>
      </c>
      <c r="D20" s="679">
        <v>135</v>
      </c>
      <c r="E20" s="673">
        <f>+'EXHIBIT B'!C30</f>
        <v>194.35</v>
      </c>
      <c r="F20" s="674">
        <f t="shared" si="2"/>
        <v>26237</v>
      </c>
      <c r="G20" s="42"/>
      <c r="H20" s="42"/>
    </row>
    <row r="21" spans="1:9" ht="20.100000000000001" customHeight="1">
      <c r="A21" s="611" t="s">
        <v>206</v>
      </c>
      <c r="B21" s="611" t="s">
        <v>124</v>
      </c>
      <c r="C21" s="672" t="s">
        <v>226</v>
      </c>
      <c r="D21" s="679">
        <v>13</v>
      </c>
      <c r="E21" s="673">
        <f>+'EXHIBIT B'!C30</f>
        <v>194.35</v>
      </c>
      <c r="F21" s="674">
        <f t="shared" si="2"/>
        <v>2527</v>
      </c>
      <c r="G21" s="42"/>
      <c r="H21" s="42"/>
    </row>
    <row r="22" spans="1:9" ht="20.100000000000001" customHeight="1">
      <c r="A22" s="611" t="s">
        <v>206</v>
      </c>
      <c r="B22" s="611" t="s">
        <v>74</v>
      </c>
      <c r="C22" s="672" t="s">
        <v>227</v>
      </c>
      <c r="D22" s="679">
        <v>52</v>
      </c>
      <c r="E22" s="673">
        <f>+'EXHIBIT B'!C31</f>
        <v>199.8</v>
      </c>
      <c r="F22" s="674">
        <f t="shared" si="2"/>
        <v>10390</v>
      </c>
      <c r="G22" s="42"/>
      <c r="H22" s="42"/>
    </row>
    <row r="23" spans="1:9" ht="20.100000000000001" customHeight="1">
      <c r="A23" s="611" t="s">
        <v>206</v>
      </c>
      <c r="B23" s="611" t="s">
        <v>125</v>
      </c>
      <c r="C23" s="672" t="s">
        <v>228</v>
      </c>
      <c r="D23" s="679">
        <v>18</v>
      </c>
      <c r="E23" s="673">
        <f>+'EXHIBIT B'!C30</f>
        <v>194.35</v>
      </c>
      <c r="F23" s="674">
        <f t="shared" si="2"/>
        <v>3498</v>
      </c>
      <c r="G23" s="42"/>
      <c r="H23" s="42"/>
    </row>
    <row r="24" spans="1:9" ht="20.100000000000001" customHeight="1">
      <c r="A24" s="1017" t="s">
        <v>206</v>
      </c>
      <c r="B24" s="1017" t="s">
        <v>722</v>
      </c>
      <c r="C24" s="1111">
        <v>40360</v>
      </c>
      <c r="D24" s="1112">
        <v>0</v>
      </c>
      <c r="E24" s="1113">
        <f>+'EXHIBIT B'!C30</f>
        <v>194.35</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218</v>
      </c>
      <c r="E27" s="677"/>
      <c r="F27" s="678">
        <f>SUM(F19:F25)</f>
        <v>42652</v>
      </c>
      <c r="G27" s="300"/>
      <c r="H27" s="300"/>
    </row>
    <row r="28" spans="1:9" ht="20.100000000000001" customHeight="1" thickBot="1">
      <c r="A28" s="301" t="s">
        <v>229</v>
      </c>
      <c r="B28" s="301"/>
      <c r="C28" s="301"/>
      <c r="D28" s="301"/>
      <c r="E28" s="301"/>
      <c r="F28" s="302"/>
      <c r="G28" s="520"/>
      <c r="H28" s="303">
        <f>H17+F27</f>
        <v>2818574</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2818574</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300000</v>
      </c>
      <c r="C55" s="1092" t="s">
        <v>794</v>
      </c>
      <c r="D55" s="1093"/>
      <c r="E55" s="934" t="s">
        <v>795</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300000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791</v>
      </c>
      <c r="B64" s="1154">
        <v>70000</v>
      </c>
      <c r="C64" s="934" t="s">
        <v>792</v>
      </c>
      <c r="D64" s="935"/>
      <c r="E64" s="934" t="s">
        <v>793</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70000</v>
      </c>
      <c r="C70" s="944"/>
      <c r="D70" s="945"/>
      <c r="E70" s="944"/>
      <c r="F70" s="945"/>
    </row>
    <row r="71" spans="1:6" ht="24.95" customHeight="1" thickBot="1">
      <c r="A71" s="280" t="s">
        <v>254</v>
      </c>
      <c r="B71" s="281">
        <f>+B70+B61</f>
        <v>370000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s="11" customFormat="1" ht="20.100000000000001" customHeight="1"/>
    <row r="82" s="11" customFormat="1" ht="20.100000000000001" customHeight="1"/>
    <row r="83" s="11" customFormat="1" ht="20.100000000000001" customHeight="1"/>
    <row r="84" s="11" customFormat="1" ht="20.100000000000001" customHeight="1"/>
    <row r="85" s="11" customFormat="1" ht="20.25" customHeight="1"/>
    <row r="86" s="11" customFormat="1" ht="20.25" customHeight="1"/>
    <row r="87" s="11" customFormat="1" ht="20.25" customHeight="1"/>
    <row r="88" s="11" customFormat="1" ht="20.25" customHeight="1"/>
    <row r="89" s="11" customFormat="1" ht="20.25" customHeight="1"/>
    <row r="90" s="11" customFormat="1" ht="20.25" customHeight="1"/>
    <row r="91" s="11" customFormat="1" ht="18" customHeight="1"/>
    <row r="92" s="11" customFormat="1" ht="18" customHeight="1"/>
    <row r="93" s="11" customFormat="1" ht="18" customHeight="1"/>
    <row r="94" s="11" customFormat="1" ht="18" customHeight="1"/>
    <row r="95" s="11" customFormat="1" ht="18" customHeight="1"/>
    <row r="96" s="11" customFormat="1" ht="18" customHeight="1"/>
    <row r="97" s="11" customFormat="1" ht="18" customHeight="1"/>
    <row r="98" s="11" customFormat="1" ht="18" customHeight="1"/>
    <row r="99" s="11" customFormat="1" ht="18" customHeight="1"/>
    <row r="100" s="11" customFormat="1" ht="18" customHeight="1"/>
    <row r="101" s="11" customFormat="1" ht="18" customHeight="1"/>
    <row r="102" s="11" customFormat="1" ht="18" customHeight="1"/>
    <row r="103" s="11" customFormat="1" ht="18" customHeight="1"/>
    <row r="104" s="11" customFormat="1" ht="18" customHeight="1"/>
    <row r="105" s="11" customFormat="1" ht="18" customHeight="1"/>
    <row r="106" s="11" customFormat="1" ht="18" customHeight="1"/>
    <row r="107" s="11" customFormat="1" ht="18" customHeight="1"/>
    <row r="108" s="11" customFormat="1" ht="18" customHeight="1"/>
    <row r="109" s="11" customFormat="1" ht="18" customHeight="1"/>
    <row r="110" s="11" customFormat="1" ht="18" customHeight="1"/>
    <row r="111" s="11" customFormat="1" ht="18" customHeight="1"/>
    <row r="112" s="11" customFormat="1" ht="18" customHeight="1"/>
    <row r="113" s="11" customFormat="1" ht="18" customHeight="1"/>
    <row r="114" s="11" customFormat="1" ht="18" customHeight="1"/>
    <row r="115" s="11" customFormat="1" ht="18" customHeight="1"/>
    <row r="116" s="11" customFormat="1" ht="18" customHeight="1"/>
    <row r="117" s="11" customFormat="1" ht="18" customHeight="1"/>
    <row r="118" s="11" customFormat="1" ht="18" customHeight="1"/>
    <row r="119" s="11" customFormat="1" ht="18" customHeight="1"/>
    <row r="120" s="11" customFormat="1" ht="18" customHeight="1"/>
    <row r="121" s="11" customFormat="1" ht="18" customHeight="1"/>
    <row r="122" s="11" customFormat="1" ht="18" customHeight="1"/>
    <row r="123" s="11" customFormat="1" ht="18" customHeight="1"/>
    <row r="124" s="11" customFormat="1" ht="18" customHeight="1"/>
    <row r="125" s="11" customFormat="1" ht="18" customHeight="1"/>
    <row r="126" s="11" customFormat="1" ht="18" customHeight="1"/>
    <row r="127" s="11" customFormat="1" ht="18" customHeight="1"/>
    <row r="128" s="11" customFormat="1" ht="18" customHeight="1"/>
    <row r="129" s="11" customFormat="1" ht="18" customHeight="1"/>
    <row r="130" s="11" customFormat="1" ht="18" customHeight="1"/>
    <row r="131" s="11" customFormat="1" ht="18" customHeight="1"/>
    <row r="132" s="11" customFormat="1" ht="18" customHeight="1"/>
    <row r="133" s="11" customFormat="1" ht="18" customHeight="1"/>
    <row r="134" s="11" customFormat="1" ht="18" customHeight="1"/>
    <row r="135" s="11" customFormat="1" ht="18" customHeight="1"/>
    <row r="136" s="11" customFormat="1" ht="18" customHeight="1"/>
    <row r="137" s="11" customFormat="1" ht="18" customHeight="1"/>
    <row r="138" s="11" customFormat="1" ht="18" customHeight="1"/>
    <row r="139" s="11" customFormat="1" ht="18" customHeight="1"/>
    <row r="140" s="11" customFormat="1" ht="18" customHeight="1"/>
    <row r="141" s="11" customFormat="1" ht="18" customHeight="1"/>
    <row r="142" s="11" customFormat="1" ht="18" customHeight="1"/>
    <row r="143" s="11" customFormat="1" ht="18" customHeight="1"/>
    <row r="144" s="11" customFormat="1" ht="18" customHeight="1"/>
    <row r="145" s="11" customFormat="1" ht="18" customHeight="1"/>
    <row r="146" s="11" customFormat="1" ht="18" customHeight="1"/>
    <row r="147" s="11" customFormat="1" ht="18" customHeight="1"/>
    <row r="148" s="11" customFormat="1"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Chipola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35" zoomScale="70" zoomScaleNormal="70" zoomScaleSheetLayoutView="70" zoomScalePageLayoutView="70" workbookViewId="0">
      <selection activeCell="J255" sqref="J255"/>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Chipola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372025</v>
      </c>
    </row>
    <row r="13" spans="1:8" ht="20.100000000000001" customHeight="1">
      <c r="A13" s="478" t="s">
        <v>191</v>
      </c>
      <c r="B13" s="176"/>
      <c r="C13" s="169" t="s">
        <v>123</v>
      </c>
      <c r="D13" s="176"/>
      <c r="E13" s="176"/>
      <c r="F13" s="180" t="s">
        <v>218</v>
      </c>
      <c r="G13" s="1146">
        <f>+'EXHIBIT C'!H11+'EXHIBIT C(2)'!E14</f>
        <v>1457357</v>
      </c>
    </row>
    <row r="14" spans="1:8" ht="20.100000000000001" customHeight="1">
      <c r="A14" s="478" t="s">
        <v>191</v>
      </c>
      <c r="B14" s="176"/>
      <c r="C14" s="176" t="s">
        <v>124</v>
      </c>
      <c r="D14" s="176"/>
      <c r="E14" s="176"/>
      <c r="F14" s="180" t="s">
        <v>219</v>
      </c>
      <c r="G14" s="1147">
        <f>+'EXHIBIT C'!H12+'EXHIBIT C(2)'!E15</f>
        <v>428101</v>
      </c>
    </row>
    <row r="15" spans="1:8" ht="20.100000000000001" customHeight="1">
      <c r="A15" s="478" t="s">
        <v>191</v>
      </c>
      <c r="B15" s="176"/>
      <c r="C15" s="181" t="s">
        <v>271</v>
      </c>
      <c r="D15" s="176"/>
      <c r="E15" s="176"/>
      <c r="F15" s="180" t="s">
        <v>220</v>
      </c>
      <c r="G15" s="1147">
        <f>+'EXHIBIT C'!H13+'EXHIBIT C(2)'!E16</f>
        <v>511738</v>
      </c>
    </row>
    <row r="16" spans="1:8" ht="20.100000000000001" customHeight="1">
      <c r="A16" s="478" t="s">
        <v>191</v>
      </c>
      <c r="B16" s="176"/>
      <c r="C16" s="181" t="s">
        <v>272</v>
      </c>
      <c r="D16" s="176"/>
      <c r="E16" s="176"/>
      <c r="F16" s="180" t="s">
        <v>221</v>
      </c>
      <c r="G16" s="182">
        <f>+'EXHIBIT C'!H14+'EXHIBIT C(2)'!E17</f>
        <v>6701</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2775922</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26237</v>
      </c>
    </row>
    <row r="23" spans="1:7" ht="20.100000000000001" customHeight="1">
      <c r="A23" s="478" t="s">
        <v>206</v>
      </c>
      <c r="B23" s="176"/>
      <c r="C23" s="176" t="s">
        <v>124</v>
      </c>
      <c r="D23" s="176"/>
      <c r="E23" s="176"/>
      <c r="F23" s="180" t="s">
        <v>226</v>
      </c>
      <c r="G23" s="1149">
        <f>+'EXHIBIT C'!F21+'EXHIBIT C(2)'!E24</f>
        <v>2527</v>
      </c>
    </row>
    <row r="24" spans="1:7" ht="20.100000000000001" customHeight="1">
      <c r="A24" s="478" t="s">
        <v>206</v>
      </c>
      <c r="B24" s="176"/>
      <c r="C24" s="181" t="s">
        <v>271</v>
      </c>
      <c r="D24" s="176"/>
      <c r="E24" s="176"/>
      <c r="F24" s="180" t="s">
        <v>227</v>
      </c>
      <c r="G24" s="1149">
        <f>+'EXHIBIT C'!F22+'EXHIBIT C(2)'!E25</f>
        <v>10390</v>
      </c>
    </row>
    <row r="25" spans="1:7" ht="20.100000000000001" customHeight="1">
      <c r="A25" s="478" t="s">
        <v>206</v>
      </c>
      <c r="B25" s="176"/>
      <c r="C25" s="181" t="s">
        <v>272</v>
      </c>
      <c r="D25" s="176"/>
      <c r="E25" s="176"/>
      <c r="F25" s="180" t="s">
        <v>228</v>
      </c>
      <c r="G25" s="1149">
        <f>+'EXHIBIT C'!F23+'EXHIBIT C(2)'!E26</f>
        <v>3498</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42652</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2818574</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35660</v>
      </c>
    </row>
    <row r="49" spans="1:7" ht="20.100000000000001" customHeight="1">
      <c r="A49" s="478" t="s">
        <v>286</v>
      </c>
      <c r="C49" s="187"/>
      <c r="D49" s="187"/>
      <c r="E49" s="187"/>
      <c r="F49" s="188" t="s">
        <v>287</v>
      </c>
      <c r="G49" s="1150">
        <v>5050</v>
      </c>
    </row>
    <row r="50" spans="1:7" ht="20.100000000000001" customHeight="1">
      <c r="A50" s="478" t="s">
        <v>288</v>
      </c>
      <c r="B50" s="176"/>
      <c r="C50" s="176"/>
      <c r="D50" s="176"/>
      <c r="E50" s="176"/>
      <c r="F50" s="180" t="s">
        <v>289</v>
      </c>
      <c r="G50" s="1150">
        <v>0</v>
      </c>
    </row>
    <row r="51" spans="1:7" ht="20.100000000000001" customHeight="1">
      <c r="A51" s="478" t="s">
        <v>712</v>
      </c>
      <c r="B51" s="176"/>
      <c r="C51" s="176"/>
      <c r="D51" s="176"/>
      <c r="E51" s="176"/>
      <c r="F51" s="195">
        <v>40280</v>
      </c>
      <c r="G51" s="1150">
        <v>0</v>
      </c>
    </row>
    <row r="52" spans="1:7" ht="20.100000000000001" customHeight="1">
      <c r="A52" s="478" t="s">
        <v>290</v>
      </c>
      <c r="B52" s="176"/>
      <c r="C52" s="176"/>
      <c r="D52" s="176"/>
      <c r="E52" s="176"/>
      <c r="F52" s="180" t="s">
        <v>291</v>
      </c>
      <c r="G52" s="1150">
        <v>112658</v>
      </c>
    </row>
    <row r="53" spans="1:7" ht="20.100000000000001" customHeight="1">
      <c r="A53" s="478" t="s">
        <v>292</v>
      </c>
      <c r="B53" s="176"/>
      <c r="C53" s="176"/>
      <c r="D53" s="176"/>
      <c r="E53" s="176"/>
      <c r="F53" s="179">
        <v>40450</v>
      </c>
      <c r="G53" s="1150">
        <v>0</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0</v>
      </c>
    </row>
    <row r="61" spans="1:7" ht="20.100000000000001" customHeight="1">
      <c r="A61" s="478" t="s">
        <v>307</v>
      </c>
      <c r="B61" s="176"/>
      <c r="C61" s="176"/>
      <c r="D61" s="176"/>
      <c r="E61" s="176"/>
      <c r="F61" s="180" t="s">
        <v>308</v>
      </c>
      <c r="G61" s="1150">
        <v>32102</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3004044</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520000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520000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13538708</v>
      </c>
    </row>
    <row r="78" spans="1:7" ht="20.100000000000001" customHeight="1">
      <c r="A78" s="478" t="s">
        <v>680</v>
      </c>
      <c r="B78" s="176"/>
      <c r="C78" s="176"/>
      <c r="D78" s="176"/>
      <c r="E78" s="176"/>
      <c r="F78" s="179">
        <v>42130</v>
      </c>
      <c r="G78" s="1152">
        <v>654808</v>
      </c>
    </row>
    <row r="79" spans="1:7" ht="20.100000000000001" customHeight="1">
      <c r="A79" s="480" t="s">
        <v>325</v>
      </c>
      <c r="B79" s="481"/>
      <c r="C79" s="481"/>
      <c r="D79" s="481"/>
      <c r="E79" s="481"/>
      <c r="F79" s="191" t="s">
        <v>326</v>
      </c>
      <c r="G79" s="1150">
        <v>222020</v>
      </c>
    </row>
    <row r="80" spans="1:7" ht="20.100000000000001" customHeight="1">
      <c r="A80" s="478" t="s">
        <v>327</v>
      </c>
      <c r="B80" s="176"/>
      <c r="C80" s="176"/>
      <c r="D80" s="176"/>
      <c r="E80" s="176"/>
      <c r="F80" s="180" t="s">
        <v>328</v>
      </c>
      <c r="G80" s="1152">
        <v>0</v>
      </c>
    </row>
    <row r="81" spans="1:10" ht="20.100000000000001" customHeight="1">
      <c r="A81" s="478" t="s">
        <v>695</v>
      </c>
      <c r="B81" s="176"/>
      <c r="C81" s="176"/>
      <c r="D81" s="176"/>
      <c r="E81" s="176"/>
      <c r="F81" s="180" t="s">
        <v>329</v>
      </c>
      <c r="G81" s="1152">
        <v>400000</v>
      </c>
    </row>
    <row r="82" spans="1:10" ht="20.100000000000001" customHeight="1">
      <c r="A82" s="478" t="s">
        <v>330</v>
      </c>
      <c r="B82" s="176"/>
      <c r="C82" s="176"/>
      <c r="D82" s="176"/>
      <c r="E82" s="176"/>
      <c r="F82" s="180" t="s">
        <v>331</v>
      </c>
      <c r="G82" s="1151">
        <f>'CHECK SHEET'!D86</f>
        <v>2823123</v>
      </c>
    </row>
    <row r="83" spans="1:10" ht="20.100000000000001" customHeight="1">
      <c r="A83" s="482" t="s">
        <v>332</v>
      </c>
      <c r="B83" s="483"/>
      <c r="C83" s="483"/>
      <c r="D83" s="483"/>
      <c r="E83" s="483"/>
      <c r="F83" s="190" t="s">
        <v>333</v>
      </c>
      <c r="G83" s="1152">
        <v>50000</v>
      </c>
    </row>
    <row r="84" spans="1:10" ht="20.100000000000001" customHeight="1">
      <c r="A84" s="478" t="s">
        <v>334</v>
      </c>
      <c r="B84" s="176"/>
      <c r="C84" s="176"/>
      <c r="D84" s="176"/>
      <c r="E84" s="176"/>
      <c r="F84" s="180" t="s">
        <v>335</v>
      </c>
      <c r="G84" s="1152">
        <v>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17688659</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7400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7400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715</v>
      </c>
      <c r="B111" s="176"/>
      <c r="C111" s="176"/>
      <c r="D111" s="176"/>
      <c r="E111" s="176"/>
      <c r="F111" s="180" t="s">
        <v>356</v>
      </c>
      <c r="G111" s="432">
        <v>13000</v>
      </c>
    </row>
    <row r="112" spans="1:7" ht="20.100000000000001" customHeight="1">
      <c r="A112" s="478" t="s">
        <v>357</v>
      </c>
      <c r="B112" s="176"/>
      <c r="C112" s="176"/>
      <c r="D112" s="176"/>
      <c r="E112" s="176"/>
      <c r="F112" s="180" t="s">
        <v>358</v>
      </c>
      <c r="G112" s="432">
        <v>31000</v>
      </c>
    </row>
    <row r="113" spans="1:7" ht="20.100000000000001" customHeight="1">
      <c r="A113" s="478" t="s">
        <v>359</v>
      </c>
      <c r="B113" s="176"/>
      <c r="C113" s="176"/>
      <c r="D113" s="176"/>
      <c r="E113" s="176"/>
      <c r="F113" s="180" t="s">
        <v>360</v>
      </c>
      <c r="G113" s="432">
        <v>6100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50100</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450000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717</v>
      </c>
      <c r="B127" s="176"/>
      <c r="C127" s="176"/>
      <c r="D127" s="176"/>
      <c r="E127" s="176"/>
      <c r="F127" s="180" t="s">
        <v>373</v>
      </c>
      <c r="G127" s="432">
        <v>9797</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459797</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70000</v>
      </c>
    </row>
    <row r="135" spans="1:7" ht="20.100000000000001" customHeight="1">
      <c r="A135" s="478" t="s">
        <v>718</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70000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21800000</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251000</v>
      </c>
    </row>
    <row r="148" spans="1:7" ht="20.100000000000001" customHeight="1">
      <c r="A148" s="478" t="s">
        <v>389</v>
      </c>
      <c r="F148" s="180" t="s">
        <v>390</v>
      </c>
      <c r="G148" s="434">
        <v>876931</v>
      </c>
    </row>
    <row r="149" spans="1:7" ht="20.100000000000001" customHeight="1">
      <c r="A149" s="478" t="s">
        <v>391</v>
      </c>
      <c r="F149" s="180" t="s">
        <v>392</v>
      </c>
      <c r="G149" s="434">
        <v>1228011</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3336989+200000</f>
        <v>3536989</v>
      </c>
    </row>
    <row r="153" spans="1:7" ht="20.100000000000001" customHeight="1">
      <c r="A153" s="478" t="s">
        <v>399</v>
      </c>
      <c r="B153" s="176"/>
      <c r="C153" s="176"/>
      <c r="D153" s="176"/>
      <c r="E153" s="176"/>
      <c r="F153" s="180" t="s">
        <v>400</v>
      </c>
      <c r="G153" s="434">
        <v>370000</v>
      </c>
    </row>
    <row r="154" spans="1:7" ht="20.100000000000001" customHeight="1">
      <c r="A154" s="478" t="s">
        <v>401</v>
      </c>
      <c r="B154" s="176"/>
      <c r="C154" s="176"/>
      <c r="D154" s="176"/>
      <c r="E154" s="176"/>
      <c r="F154" s="180" t="s">
        <v>402</v>
      </c>
      <c r="G154" s="434">
        <v>1000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1564831</v>
      </c>
    </row>
    <row r="163" spans="1:7" ht="20.100000000000001" customHeight="1">
      <c r="A163" s="478" t="s">
        <v>418</v>
      </c>
      <c r="B163" s="176"/>
      <c r="C163" s="176"/>
      <c r="D163" s="176"/>
      <c r="E163" s="176"/>
      <c r="F163" s="180" t="s">
        <v>419</v>
      </c>
      <c r="G163" s="434">
        <v>4000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f>1696221+40000</f>
        <v>1736221</v>
      </c>
    </row>
    <row r="168" spans="1:7" ht="20.100000000000001" customHeight="1">
      <c r="A168" s="478" t="s">
        <v>428</v>
      </c>
      <c r="B168" s="176"/>
      <c r="C168" s="176"/>
      <c r="D168" s="176"/>
      <c r="E168" s="176"/>
      <c r="F168" s="180" t="s">
        <v>429</v>
      </c>
      <c r="G168" s="434">
        <v>25000</v>
      </c>
    </row>
    <row r="169" spans="1:7" ht="20.100000000000001" customHeight="1">
      <c r="A169" s="478" t="s">
        <v>430</v>
      </c>
      <c r="B169" s="176"/>
      <c r="C169" s="176"/>
      <c r="D169" s="176"/>
      <c r="E169" s="176"/>
      <c r="F169" s="180" t="s">
        <v>431</v>
      </c>
      <c r="G169" s="434">
        <v>140000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800000</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200000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120000</v>
      </c>
    </row>
    <row r="183" spans="1:7" ht="20.100000000000001" customHeight="1">
      <c r="A183" s="478" t="s">
        <v>455</v>
      </c>
      <c r="B183" s="176"/>
      <c r="C183" s="176"/>
      <c r="D183" s="176"/>
      <c r="E183" s="176"/>
      <c r="F183" s="180" t="s">
        <v>456</v>
      </c>
      <c r="G183" s="434">
        <v>6000</v>
      </c>
    </row>
    <row r="184" spans="1:7" ht="20.100000000000001" customHeight="1">
      <c r="A184" s="478" t="s">
        <v>457</v>
      </c>
      <c r="B184" s="176"/>
      <c r="C184" s="176"/>
      <c r="D184" s="176"/>
      <c r="E184" s="176"/>
      <c r="F184" s="180" t="s">
        <v>458</v>
      </c>
      <c r="G184" s="434">
        <v>715000</v>
      </c>
    </row>
    <row r="185" spans="1:7" ht="20.100000000000001" customHeight="1">
      <c r="A185" s="478" t="s">
        <v>459</v>
      </c>
      <c r="B185" s="176"/>
      <c r="C185" s="176"/>
      <c r="D185" s="176"/>
      <c r="E185" s="176"/>
      <c r="F185" s="180" t="s">
        <v>460</v>
      </c>
      <c r="G185" s="434">
        <v>1455010</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2604198</v>
      </c>
    </row>
    <row r="191" spans="1:7" ht="20.100000000000001" customHeight="1">
      <c r="A191" s="478" t="s">
        <v>719</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15634191</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180000</v>
      </c>
    </row>
    <row r="199" spans="1:7" ht="20.100000000000001" customHeight="1">
      <c r="A199" s="478" t="s">
        <v>478</v>
      </c>
      <c r="B199" s="176"/>
      <c r="C199" s="176"/>
      <c r="D199" s="176"/>
      <c r="E199" s="176"/>
      <c r="F199" s="180" t="s">
        <v>479</v>
      </c>
      <c r="G199" s="434">
        <v>20000</v>
      </c>
    </row>
    <row r="200" spans="1:7" ht="20.100000000000001" customHeight="1">
      <c r="A200" s="478" t="s">
        <v>480</v>
      </c>
      <c r="B200" s="176"/>
      <c r="C200" s="176"/>
      <c r="D200" s="176"/>
      <c r="E200" s="176"/>
      <c r="F200" s="180" t="s">
        <v>481</v>
      </c>
      <c r="G200" s="434">
        <v>55000</v>
      </c>
    </row>
    <row r="201" spans="1:7" ht="20.100000000000001" customHeight="1">
      <c r="A201" s="478" t="s">
        <v>482</v>
      </c>
      <c r="B201" s="176"/>
      <c r="C201" s="176"/>
      <c r="D201" s="176"/>
      <c r="E201" s="176"/>
      <c r="F201" s="180" t="s">
        <v>483</v>
      </c>
      <c r="G201" s="434">
        <v>25000</v>
      </c>
    </row>
    <row r="202" spans="1:7" ht="20.100000000000001" customHeight="1">
      <c r="A202" s="478" t="s">
        <v>484</v>
      </c>
      <c r="B202" s="176"/>
      <c r="C202" s="176"/>
      <c r="D202" s="176"/>
      <c r="E202" s="176"/>
      <c r="F202" s="180" t="s">
        <v>485</v>
      </c>
      <c r="G202" s="434">
        <v>300000</v>
      </c>
    </row>
    <row r="203" spans="1:7" ht="20.100000000000001" customHeight="1">
      <c r="A203" s="478" t="s">
        <v>720</v>
      </c>
      <c r="B203" s="176"/>
      <c r="C203" s="176"/>
      <c r="D203" s="176"/>
      <c r="E203" s="176"/>
      <c r="F203" s="180" t="s">
        <v>487</v>
      </c>
      <c r="G203" s="434">
        <v>50000</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v>750000</v>
      </c>
    </row>
    <row r="206" spans="1:7" ht="20.100000000000001" customHeight="1">
      <c r="A206" s="478" t="s">
        <v>490</v>
      </c>
      <c r="B206" s="176"/>
      <c r="C206" s="176"/>
      <c r="D206" s="176"/>
      <c r="E206" s="176"/>
      <c r="F206" s="180" t="s">
        <v>491</v>
      </c>
      <c r="G206" s="434">
        <f>40000+160000+1050000+55000+40000</f>
        <v>1345000</v>
      </c>
    </row>
    <row r="207" spans="1:7" ht="20.100000000000001" customHeight="1">
      <c r="A207" s="478" t="s">
        <v>492</v>
      </c>
      <c r="B207" s="176"/>
      <c r="C207" s="176"/>
      <c r="D207" s="176"/>
      <c r="E207" s="176"/>
      <c r="F207" s="180" t="s">
        <v>493</v>
      </c>
      <c r="G207" s="434">
        <v>607729</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80000</v>
      </c>
    </row>
    <row r="211" spans="1:9" ht="20.100000000000001" customHeight="1">
      <c r="A211" s="478" t="s">
        <v>499</v>
      </c>
      <c r="B211" s="176"/>
      <c r="C211" s="176"/>
      <c r="D211" s="176"/>
      <c r="E211" s="176"/>
      <c r="F211" s="180" t="s">
        <v>500</v>
      </c>
      <c r="G211" s="434">
        <v>350000</v>
      </c>
    </row>
    <row r="212" spans="1:9" ht="20.100000000000001" customHeight="1">
      <c r="A212" s="478" t="s">
        <v>501</v>
      </c>
      <c r="F212" s="195" t="s">
        <v>502</v>
      </c>
      <c r="G212" s="434">
        <v>650000</v>
      </c>
    </row>
    <row r="213" spans="1:9" ht="20.100000000000001" customHeight="1">
      <c r="A213" s="478" t="s">
        <v>503</v>
      </c>
      <c r="B213" s="176"/>
      <c r="C213" s="176"/>
      <c r="D213" s="176"/>
      <c r="E213" s="176"/>
      <c r="F213" s="180" t="s">
        <v>504</v>
      </c>
      <c r="G213" s="434">
        <v>250000</v>
      </c>
    </row>
    <row r="214" spans="1:9" ht="20.100000000000001" customHeight="1">
      <c r="A214" s="478" t="s">
        <v>505</v>
      </c>
      <c r="B214" s="176"/>
      <c r="C214" s="176"/>
      <c r="D214" s="176"/>
      <c r="E214" s="176"/>
      <c r="F214" s="180" t="s">
        <v>506</v>
      </c>
      <c r="G214" s="434">
        <v>175000</v>
      </c>
    </row>
    <row r="215" spans="1:9" ht="20.100000000000001" customHeight="1">
      <c r="A215" s="478" t="s">
        <v>507</v>
      </c>
      <c r="B215" s="176"/>
      <c r="C215" s="176"/>
      <c r="D215" s="176"/>
      <c r="E215" s="176"/>
      <c r="F215" s="180" t="s">
        <v>508</v>
      </c>
      <c r="G215" s="434">
        <v>30000</v>
      </c>
    </row>
    <row r="216" spans="1:9" ht="20.100000000000001" customHeight="1">
      <c r="A216" s="478" t="s">
        <v>721</v>
      </c>
      <c r="B216" s="176"/>
      <c r="C216" s="176"/>
      <c r="D216" s="176"/>
      <c r="E216" s="176"/>
      <c r="F216" s="193" t="s">
        <v>509</v>
      </c>
      <c r="G216" s="434">
        <v>20000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5000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0</v>
      </c>
    </row>
    <row r="223" spans="1:9" ht="20.100000000000001" customHeight="1">
      <c r="A223" s="489" t="s">
        <v>684</v>
      </c>
      <c r="B223" s="202"/>
      <c r="C223" s="202"/>
      <c r="D223" s="203"/>
      <c r="E223" s="202"/>
      <c r="F223" s="1055">
        <v>69200</v>
      </c>
      <c r="G223" s="434">
        <v>300000</v>
      </c>
    </row>
    <row r="224" spans="1:9" ht="20.100000000000001" customHeight="1">
      <c r="A224" s="478" t="s">
        <v>520</v>
      </c>
      <c r="B224" s="176"/>
      <c r="C224" s="176"/>
      <c r="D224" s="176"/>
      <c r="E224" s="176"/>
      <c r="F224" s="180" t="s">
        <v>521</v>
      </c>
      <c r="G224" s="434">
        <v>10000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5202729</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963080</v>
      </c>
    </row>
    <row r="235" spans="1:7" ht="20.100000000000001" customHeight="1">
      <c r="A235" s="478" t="s">
        <v>533</v>
      </c>
      <c r="B235" s="176"/>
      <c r="C235" s="176"/>
      <c r="D235" s="176"/>
      <c r="E235" s="176"/>
      <c r="F235" s="1012" t="s">
        <v>534</v>
      </c>
      <c r="G235" s="434">
        <v>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963080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21800000</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7859025</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7859025</v>
      </c>
    </row>
    <row r="263" spans="1:12" ht="20.100000000000001" customHeight="1">
      <c r="A263" s="479"/>
      <c r="B263" s="176"/>
      <c r="C263" s="176"/>
      <c r="D263" s="176"/>
      <c r="E263" s="176"/>
      <c r="F263" s="189"/>
      <c r="G263" s="205"/>
    </row>
    <row r="264" spans="1:12" ht="20.100000000000001" customHeight="1" thickBot="1">
      <c r="A264" s="490" t="s">
        <v>746</v>
      </c>
      <c r="F264" s="195">
        <v>30800</v>
      </c>
      <c r="G264" s="1159">
        <v>-10573721</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-2714696</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sqref="A1:XFD1048576"/>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Chipola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7646161.6799999997</v>
      </c>
      <c r="C10" s="436">
        <v>739929</v>
      </c>
      <c r="D10" s="436">
        <f>963080/2</f>
        <v>481540</v>
      </c>
      <c r="E10" s="359">
        <f>SUM(B10:D10)</f>
        <v>8867630.6799999997</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20762.54</v>
      </c>
      <c r="C12" s="430">
        <v>5000</v>
      </c>
      <c r="D12" s="430">
        <v>0</v>
      </c>
      <c r="E12" s="360">
        <f>SUM(B12:D12)</f>
        <v>25762.54</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817660.92</v>
      </c>
      <c r="C14" s="438">
        <v>160000</v>
      </c>
      <c r="D14" s="438">
        <v>0</v>
      </c>
      <c r="E14" s="360">
        <f t="shared" ref="E14:E20" si="0">SUM(B14:D14)</f>
        <v>977660.92</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2408945.42</v>
      </c>
      <c r="C16" s="430">
        <v>490000</v>
      </c>
      <c r="D16" s="430">
        <v>0</v>
      </c>
      <c r="E16" s="360">
        <f t="shared" si="0"/>
        <v>2898945.42</v>
      </c>
      <c r="F16" s="342"/>
    </row>
    <row r="17" spans="1:6" s="11" customFormat="1" ht="20.100000000000001" customHeight="1">
      <c r="A17" s="358" t="s">
        <v>574</v>
      </c>
      <c r="B17" s="437">
        <v>3537665.5</v>
      </c>
      <c r="C17" s="430">
        <v>1738800</v>
      </c>
      <c r="D17" s="430">
        <f>963080*0.25</f>
        <v>240770</v>
      </c>
      <c r="E17" s="360">
        <f t="shared" si="0"/>
        <v>5517235.5</v>
      </c>
      <c r="F17" s="342"/>
    </row>
    <row r="18" spans="1:6" s="11" customFormat="1" ht="20.100000000000001" customHeight="1">
      <c r="A18" s="358" t="s">
        <v>575</v>
      </c>
      <c r="B18" s="437">
        <v>1202994.94</v>
      </c>
      <c r="C18" s="430">
        <v>1764000</v>
      </c>
      <c r="D18" s="430">
        <f>963080*0.25</f>
        <v>240770</v>
      </c>
      <c r="E18" s="360">
        <f t="shared" si="0"/>
        <v>3207764.94</v>
      </c>
      <c r="F18" s="342"/>
    </row>
    <row r="19" spans="1:6" s="11" customFormat="1" ht="20.100000000000001" customHeight="1">
      <c r="A19" s="358" t="s">
        <v>576</v>
      </c>
      <c r="B19" s="437">
        <v>0</v>
      </c>
      <c r="C19" s="430">
        <v>5000</v>
      </c>
      <c r="D19" s="430">
        <v>0</v>
      </c>
      <c r="E19" s="360">
        <f t="shared" si="0"/>
        <v>5000</v>
      </c>
      <c r="F19" s="342"/>
    </row>
    <row r="20" spans="1:6" s="11" customFormat="1" ht="20.100000000000001" customHeight="1" thickBot="1">
      <c r="A20" s="358" t="s">
        <v>577</v>
      </c>
      <c r="B20" s="437">
        <v>0</v>
      </c>
      <c r="C20" s="431">
        <v>300000</v>
      </c>
      <c r="D20" s="431">
        <v>0</v>
      </c>
      <c r="E20" s="360">
        <f t="shared" si="0"/>
        <v>300000</v>
      </c>
      <c r="F20" s="342"/>
    </row>
    <row r="21" spans="1:6" s="11" customFormat="1" ht="24" customHeight="1" thickBot="1">
      <c r="A21" s="283" t="s">
        <v>47</v>
      </c>
      <c r="B21" s="343">
        <f>SUM(B10:B20)</f>
        <v>15634191</v>
      </c>
      <c r="C21" s="346">
        <f>SUM(C10:C20)</f>
        <v>5202729</v>
      </c>
      <c r="D21" s="346">
        <f>SUM(D10:D20)</f>
        <v>963080</v>
      </c>
      <c r="E21" s="345">
        <f>SUM(E10:E20)</f>
        <v>21800000</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zoomScale="60" zoomScaleNormal="60" zoomScaleSheetLayoutView="50" zoomScalePageLayoutView="60" workbookViewId="0"/>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Chipola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980">
        <f>135195*1.03</f>
        <v>139250.85</v>
      </c>
      <c r="E12" s="724">
        <v>0</v>
      </c>
      <c r="F12" s="725">
        <f t="shared" si="0"/>
        <v>139250.85</v>
      </c>
      <c r="I12" s="82"/>
      <c r="J12" s="23"/>
      <c r="K12" s="87"/>
      <c r="L12" s="87"/>
      <c r="M12" s="87"/>
      <c r="N12" s="87"/>
    </row>
    <row r="13" spans="1:224" s="11" customFormat="1" ht="30" customHeight="1">
      <c r="A13" s="721" t="s">
        <v>393</v>
      </c>
      <c r="B13" s="722"/>
      <c r="C13" s="723" t="s">
        <v>394</v>
      </c>
      <c r="D13" s="980">
        <v>0</v>
      </c>
      <c r="E13" s="724">
        <v>0</v>
      </c>
      <c r="F13" s="725">
        <f t="shared" si="0"/>
        <v>0</v>
      </c>
      <c r="I13" s="82"/>
      <c r="J13" s="23"/>
      <c r="K13" s="87"/>
      <c r="L13" s="87"/>
      <c r="M13" s="87"/>
      <c r="N13" s="87"/>
    </row>
    <row r="14" spans="1:224" s="11" customFormat="1" ht="30" customHeight="1">
      <c r="A14" s="721" t="s">
        <v>395</v>
      </c>
      <c r="B14" s="722"/>
      <c r="C14" s="723" t="s">
        <v>396</v>
      </c>
      <c r="D14" s="980">
        <v>0</v>
      </c>
      <c r="E14" s="724">
        <v>0</v>
      </c>
      <c r="F14" s="725">
        <f t="shared" si="0"/>
        <v>0</v>
      </c>
      <c r="I14" s="82"/>
      <c r="J14" s="23"/>
      <c r="K14" s="87"/>
      <c r="L14" s="87"/>
      <c r="M14" s="87"/>
      <c r="N14" s="87"/>
    </row>
    <row r="15" spans="1:224" s="11" customFormat="1" ht="30" customHeight="1">
      <c r="A15" s="721" t="s">
        <v>397</v>
      </c>
      <c r="B15" s="722"/>
      <c r="C15" s="723" t="s">
        <v>398</v>
      </c>
      <c r="D15" s="980">
        <f>416364*1.03</f>
        <v>428854.92</v>
      </c>
      <c r="E15" s="724">
        <v>0</v>
      </c>
      <c r="F15" s="725">
        <f t="shared" si="0"/>
        <v>428854.92</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5000</v>
      </c>
      <c r="E30" s="724">
        <v>0</v>
      </c>
      <c r="F30" s="725">
        <f t="shared" si="0"/>
        <v>5000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f>70201*1.05</f>
        <v>73711.05</v>
      </c>
      <c r="E34" s="724">
        <v>0</v>
      </c>
      <c r="F34" s="725">
        <f t="shared" si="0"/>
        <v>73711.05</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50000</v>
      </c>
      <c r="E47" s="724">
        <v>0</v>
      </c>
      <c r="F47" s="725">
        <f t="shared" si="0"/>
        <v>50000</v>
      </c>
    </row>
    <row r="48" spans="1:6" s="11" customFormat="1" ht="30" customHeight="1">
      <c r="A48" s="721" t="s">
        <v>459</v>
      </c>
      <c r="B48" s="722"/>
      <c r="C48" s="723" t="s">
        <v>460</v>
      </c>
      <c r="D48" s="724">
        <v>85000</v>
      </c>
      <c r="E48" s="724">
        <v>0</v>
      </c>
      <c r="F48" s="725">
        <f t="shared" si="0"/>
        <v>85000</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f>100000*1.03</f>
        <v>103000</v>
      </c>
      <c r="E53" s="724">
        <v>0</v>
      </c>
      <c r="F53" s="725">
        <f t="shared" si="0"/>
        <v>103000</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884816.82000000007</v>
      </c>
      <c r="E56" s="258">
        <f>SUM(E10:E55)</f>
        <v>0</v>
      </c>
      <c r="F56" s="258">
        <f t="shared" si="0"/>
        <v>884816.82000000007</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10000</v>
      </c>
      <c r="E63" s="439">
        <v>0</v>
      </c>
      <c r="F63" s="224">
        <f t="shared" si="0"/>
        <v>10000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50000</v>
      </c>
      <c r="E72" s="724">
        <v>0</v>
      </c>
      <c r="F72" s="725">
        <f t="shared" si="0"/>
        <v>50000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50000</v>
      </c>
      <c r="E76" s="724">
        <v>0</v>
      </c>
      <c r="F76" s="725">
        <f t="shared" si="1"/>
        <v>50000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110000</v>
      </c>
      <c r="E92" s="254">
        <f>SUM(E63:E91)</f>
        <v>0</v>
      </c>
      <c r="F92" s="254">
        <f t="shared" si="1"/>
        <v>110000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25000</v>
      </c>
      <c r="E99" s="724">
        <v>0</v>
      </c>
      <c r="F99" s="725">
        <f t="shared" si="1"/>
        <v>25000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25000</v>
      </c>
      <c r="E110" s="258">
        <f>SUM(E97:E109)</f>
        <v>0</v>
      </c>
      <c r="F110" s="258">
        <f>SUM(D110:E110)</f>
        <v>25000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1019816.8200000001</v>
      </c>
      <c r="E112" s="254">
        <f>+E56+E92+E110</f>
        <v>0</v>
      </c>
      <c r="F112" s="254">
        <f>SUM(D112:E112)</f>
        <v>1019816.8200000001</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372025</v>
      </c>
      <c r="E117" s="724">
        <v>0</v>
      </c>
      <c r="F117" s="725">
        <f t="shared" ref="F117:F127" si="3">+D117+E117</f>
        <v>372025</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f>+D112-D117</f>
        <v>647791.82000000007</v>
      </c>
      <c r="E122" s="724">
        <v>0</v>
      </c>
      <c r="F122" s="725">
        <f t="shared" si="3"/>
        <v>647791.82000000007</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1019816.8200000001</v>
      </c>
      <c r="E128" s="248">
        <f>SUM(E116:E127)</f>
        <v>0</v>
      </c>
      <c r="F128" s="249">
        <f>SUM(F116:F127)</f>
        <v>1019816.8200000001</v>
      </c>
    </row>
    <row r="129" spans="1:6" ht="14.1" customHeight="1">
      <c r="A129" s="237"/>
      <c r="B129" s="237"/>
      <c r="C129" s="238"/>
      <c r="D129" s="239"/>
      <c r="E129" s="239"/>
      <c r="F129" s="239"/>
    </row>
    <row r="130" spans="1:6" ht="83.25" customHeight="1">
      <c r="A130" s="898" t="s">
        <v>748</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election activeCell="E16" sqref="E16"/>
    </sheetView>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CURRENT_FUNDS___UNRESTRICTED_LOWER_AND_UPPER_LEVEL</vt:lpstr>
      <vt:lpstr>CURRENT_FUNDS___UNRESTRICTED4</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2026-06-30T13:59:44Z</cp:lastPrinted>
  <dcterms:created xsi:type="dcterms:W3CDTF">2005-03-22T15:46:43Z</dcterms:created>
  <dcterms:modified xsi:type="dcterms:W3CDTF">2026-08-04T12:22:16Z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